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Gregory\Desktop\"/>
    </mc:Choice>
  </mc:AlternateContent>
  <workbookProtection workbookAlgorithmName="SHA-512" workbookHashValue="Fh0MrmZhY+mIgfVqQa8zCsIwp/jb3Efn/wS11akk46G0xsTAInCTN91p992k/J60nkB0DO0/+2mijbf2cLmVjw==" workbookSaltValue="ZofhyL2Bz92EjiQaxiRD8A==" workbookSpinCount="100000" lockStructure="1"/>
  <bookViews>
    <workbookView xWindow="300" yWindow="0" windowWidth="11565" windowHeight="9975" tabRatio="663"/>
  </bookViews>
  <sheets>
    <sheet name="Input" sheetId="1" r:id="rId1"/>
    <sheet name="KW-Calc" sheetId="2" state="hidden" r:id="rId2"/>
    <sheet name="Energy Calc Sheet #2" sheetId="4" state="hidden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A26" i="1" l="1"/>
  <c r="A24" i="1"/>
  <c r="A23" i="1"/>
  <c r="A22" i="1"/>
  <c r="J17" i="1"/>
  <c r="J16" i="1"/>
  <c r="J15" i="1"/>
  <c r="U25" i="4" l="1"/>
  <c r="U17" i="4"/>
  <c r="T23" i="4"/>
  <c r="AF8" i="4"/>
  <c r="AE8" i="4"/>
  <c r="AD8" i="4"/>
  <c r="AB8" i="4"/>
  <c r="Z8" i="4"/>
  <c r="X8" i="4"/>
  <c r="Z7" i="4"/>
  <c r="X7" i="4"/>
  <c r="V7" i="4"/>
  <c r="AG5" i="4"/>
  <c r="U28" i="4" s="1"/>
  <c r="AE5" i="4"/>
  <c r="U26" i="4" s="1"/>
  <c r="AD5" i="4"/>
  <c r="AB5" i="4"/>
  <c r="U23" i="4" s="1"/>
  <c r="Z5" i="4"/>
  <c r="U21" i="4" s="1"/>
  <c r="X5" i="4"/>
  <c r="U19" i="4" s="1"/>
  <c r="V5" i="4"/>
  <c r="AG4" i="4"/>
  <c r="T28" i="4" s="1"/>
  <c r="AE4" i="4"/>
  <c r="T26" i="4" s="1"/>
  <c r="AD4" i="4"/>
  <c r="T25" i="4" s="1"/>
  <c r="AB4" i="4"/>
  <c r="Z4" i="4"/>
  <c r="T21" i="4" s="1"/>
  <c r="X4" i="4"/>
  <c r="T19" i="4" s="1"/>
  <c r="V4" i="4"/>
  <c r="T17" i="4" s="1"/>
  <c r="T7" i="4"/>
  <c r="T5" i="4"/>
  <c r="U15" i="4" s="1"/>
  <c r="T4" i="4"/>
  <c r="T15" i="4" s="1"/>
  <c r="AF9" i="4" l="1"/>
  <c r="S27" i="4" s="1"/>
  <c r="H8" i="2"/>
  <c r="H9" i="2"/>
  <c r="H10" i="2"/>
  <c r="H11" i="2"/>
  <c r="H12" i="2"/>
  <c r="H21" i="2"/>
  <c r="H22" i="2"/>
  <c r="H23" i="2"/>
  <c r="H7" i="2"/>
  <c r="X9" i="4"/>
  <c r="S19" i="4" s="1"/>
  <c r="T9" i="4"/>
  <c r="S15" i="4" s="1"/>
  <c r="D13" i="1"/>
  <c r="R16" i="4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V9" i="4"/>
  <c r="S17" i="4" s="1"/>
  <c r="Z9" i="4"/>
  <c r="S21" i="4" s="1"/>
  <c r="AB9" i="4"/>
  <c r="S23" i="4" s="1"/>
  <c r="AD9" i="4"/>
  <c r="S25" i="4" s="1"/>
  <c r="AE9" i="4"/>
  <c r="S26" i="4" s="1"/>
  <c r="Y8" i="4"/>
  <c r="AC8" i="4"/>
  <c r="AC9" i="4" s="1"/>
  <c r="S24" i="4" s="1"/>
  <c r="AA8" i="4"/>
  <c r="AA9" i="4" s="1"/>
  <c r="S22" i="4" s="1"/>
  <c r="Y7" i="4"/>
  <c r="AF5" i="4"/>
  <c r="U27" i="4" s="1"/>
  <c r="AC5" i="4"/>
  <c r="U24" i="4" s="1"/>
  <c r="AA5" i="4"/>
  <c r="U22" i="4" s="1"/>
  <c r="Y5" i="4"/>
  <c r="U20" i="4" s="1"/>
  <c r="W5" i="4"/>
  <c r="U18" i="4" s="1"/>
  <c r="U5" i="4"/>
  <c r="U16" i="4" s="1"/>
  <c r="U14" i="4" s="1"/>
  <c r="U13" i="4" s="1"/>
  <c r="V57" i="2"/>
  <c r="W57" i="2"/>
  <c r="Y57" i="2"/>
  <c r="Z57" i="2" s="1"/>
  <c r="AA57" i="2"/>
  <c r="AB57" i="2" s="1"/>
  <c r="AC57" i="2"/>
  <c r="AD57" i="2" s="1"/>
  <c r="AE57" i="2"/>
  <c r="AG57" i="2"/>
  <c r="AF57" i="2" s="1"/>
  <c r="U57" i="2"/>
  <c r="AG42" i="2"/>
  <c r="AG43" i="2"/>
  <c r="AE42" i="2"/>
  <c r="AE43" i="2"/>
  <c r="AC42" i="2"/>
  <c r="AC43" i="2"/>
  <c r="Y42" i="2"/>
  <c r="Y43" i="2"/>
  <c r="Y44" i="2"/>
  <c r="Y45" i="2"/>
  <c r="W44" i="2"/>
  <c r="W45" i="2"/>
  <c r="U44" i="2"/>
  <c r="U45" i="2"/>
  <c r="AA45" i="2"/>
  <c r="AA44" i="2"/>
  <c r="AA43" i="2"/>
  <c r="AA42" i="2"/>
  <c r="AC19" i="2"/>
  <c r="AC20" i="2"/>
  <c r="AA21" i="2"/>
  <c r="AA22" i="2"/>
  <c r="AA23" i="2"/>
  <c r="Y21" i="2"/>
  <c r="Y22" i="2"/>
  <c r="Y23" i="2"/>
  <c r="W21" i="2"/>
  <c r="W22" i="2"/>
  <c r="W23" i="2"/>
  <c r="U21" i="2"/>
  <c r="U22" i="2"/>
  <c r="U23" i="2"/>
  <c r="AH8" i="2"/>
  <c r="AH9" i="2"/>
  <c r="AH10" i="2"/>
  <c r="AH11" i="2"/>
  <c r="AH12" i="2"/>
  <c r="AG8" i="2"/>
  <c r="AG9" i="2"/>
  <c r="AF8" i="2"/>
  <c r="AF9" i="2"/>
  <c r="AF10" i="2"/>
  <c r="AF11" i="2"/>
  <c r="AF12" i="2"/>
  <c r="AE8" i="2"/>
  <c r="AE9" i="2"/>
  <c r="AE10" i="2"/>
  <c r="AE11" i="2"/>
  <c r="AE12" i="2"/>
  <c r="AH7" i="2"/>
  <c r="AG7" i="2"/>
  <c r="AF7" i="2"/>
  <c r="AE7" i="2"/>
  <c r="AC8" i="2"/>
  <c r="AC9" i="2"/>
  <c r="AC10" i="2"/>
  <c r="AC11" i="2"/>
  <c r="AC12" i="2"/>
  <c r="AA8" i="2"/>
  <c r="AA9" i="2"/>
  <c r="AA10" i="2"/>
  <c r="AA11" i="2"/>
  <c r="AA12" i="2"/>
  <c r="Y8" i="2"/>
  <c r="Y9" i="2"/>
  <c r="Y10" i="2"/>
  <c r="Y11" i="2"/>
  <c r="Y12" i="2"/>
  <c r="W8" i="2"/>
  <c r="W9" i="2"/>
  <c r="W10" i="2"/>
  <c r="W11" i="2"/>
  <c r="W12" i="2"/>
  <c r="W13" i="2"/>
  <c r="W15" i="2"/>
  <c r="W16" i="2"/>
  <c r="W18" i="2"/>
  <c r="AC7" i="2"/>
  <c r="AA7" i="2"/>
  <c r="Y7" i="2"/>
  <c r="W7" i="2"/>
  <c r="U8" i="2"/>
  <c r="U9" i="2"/>
  <c r="U10" i="2"/>
  <c r="U11" i="2"/>
  <c r="U12" i="2"/>
  <c r="U7" i="2"/>
  <c r="Y31" i="2"/>
  <c r="AA31" i="2"/>
  <c r="AC31" i="2"/>
  <c r="AE31" i="2"/>
  <c r="AF31" i="2"/>
  <c r="AG31" i="2"/>
  <c r="Y32" i="2"/>
  <c r="AA32" i="2"/>
  <c r="AC32" i="2"/>
  <c r="AE32" i="2"/>
  <c r="AF32" i="2"/>
  <c r="AG32" i="2"/>
  <c r="U34" i="2"/>
  <c r="W34" i="2"/>
  <c r="Y34" i="2"/>
  <c r="AA34" i="2"/>
  <c r="Y35" i="2"/>
  <c r="AA35" i="2"/>
  <c r="AD35" i="2"/>
  <c r="AE35" i="2"/>
  <c r="AG35" i="2"/>
  <c r="Y36" i="2"/>
  <c r="AA36" i="2"/>
  <c r="AC36" i="2"/>
  <c r="AE36" i="2"/>
  <c r="AG36" i="2"/>
  <c r="U38" i="2"/>
  <c r="W38" i="2"/>
  <c r="Y38" i="2"/>
  <c r="AA38" i="2"/>
  <c r="U39" i="2"/>
  <c r="W39" i="2"/>
  <c r="Y39" i="2"/>
  <c r="AA39" i="2"/>
  <c r="W33" i="2"/>
  <c r="Y33" i="2"/>
  <c r="AA33" i="2"/>
  <c r="U33" i="2"/>
  <c r="AG24" i="2"/>
  <c r="Q17" i="2"/>
  <c r="Q18" i="2"/>
  <c r="AE18" i="2" s="1"/>
  <c r="Q16" i="2"/>
  <c r="AE16" i="2" s="1"/>
  <c r="K17" i="2"/>
  <c r="K18" i="2"/>
  <c r="Y18" i="2" s="1"/>
  <c r="K16" i="2"/>
  <c r="Y16" i="2" s="1"/>
  <c r="G17" i="2"/>
  <c r="H17" i="2" s="1"/>
  <c r="G18" i="2"/>
  <c r="U18" i="2" s="1"/>
  <c r="G16" i="2"/>
  <c r="U16" i="2" s="1"/>
  <c r="G13" i="2"/>
  <c r="U13" i="2" s="1"/>
  <c r="Q14" i="2"/>
  <c r="Q15" i="2"/>
  <c r="AE15" i="2" s="1"/>
  <c r="Q13" i="2"/>
  <c r="AE13" i="2" s="1"/>
  <c r="K14" i="2"/>
  <c r="K15" i="2"/>
  <c r="Y15" i="2" s="1"/>
  <c r="K13" i="2"/>
  <c r="Y13" i="2" s="1"/>
  <c r="G14" i="2"/>
  <c r="H14" i="2" s="1"/>
  <c r="G15" i="2"/>
  <c r="U15" i="2" s="1"/>
  <c r="J26" i="1"/>
  <c r="J19" i="1"/>
  <c r="H16" i="2" l="1"/>
  <c r="X57" i="2"/>
  <c r="H15" i="2"/>
  <c r="W46" i="2"/>
  <c r="H18" i="2"/>
  <c r="U46" i="2"/>
  <c r="S14" i="4"/>
  <c r="S13" i="4" s="1"/>
  <c r="H13" i="2"/>
  <c r="H24" i="2" s="1"/>
  <c r="Y9" i="4"/>
  <c r="S20" i="4" s="1"/>
  <c r="AG8" i="4"/>
  <c r="AG9" i="4" s="1"/>
  <c r="S28" i="4" s="1"/>
  <c r="AF4" i="4"/>
  <c r="T27" i="4" s="1"/>
  <c r="AA4" i="4"/>
  <c r="T22" i="4" s="1"/>
  <c r="W7" i="4"/>
  <c r="W9" i="4" s="1"/>
  <c r="S18" i="4" s="1"/>
  <c r="U7" i="4"/>
  <c r="U9" i="4" s="1"/>
  <c r="S16" i="4" s="1"/>
  <c r="U4" i="4"/>
  <c r="T16" i="4" s="1"/>
  <c r="T14" i="4" s="1"/>
  <c r="T13" i="4" s="1"/>
  <c r="W4" i="4"/>
  <c r="T18" i="4" s="1"/>
  <c r="AC4" i="4"/>
  <c r="T24" i="4" s="1"/>
  <c r="Y4" i="4"/>
  <c r="T20" i="4" s="1"/>
  <c r="AC46" i="2"/>
  <c r="Y46" i="2"/>
  <c r="AG46" i="2"/>
  <c r="AE46" i="2"/>
  <c r="AA46" i="2"/>
  <c r="W24" i="2"/>
  <c r="AA24" i="2"/>
  <c r="U24" i="2"/>
  <c r="Y24" i="2"/>
  <c r="AC24" i="2"/>
  <c r="AE24" i="2"/>
  <c r="J14" i="1"/>
  <c r="J12" i="1"/>
  <c r="J13" i="1"/>
  <c r="J22" i="1"/>
  <c r="J23" i="1" s="1"/>
  <c r="J24" i="1" l="1"/>
  <c r="J18" i="1"/>
  <c r="J25" i="1" s="1"/>
  <c r="J27" i="1" l="1"/>
  <c r="J29" i="1" l="1"/>
  <c r="J30" i="1" l="1"/>
  <c r="J28" i="1"/>
  <c r="B24" i="1"/>
  <c r="B25" i="1" l="1"/>
  <c r="B26" i="1"/>
  <c r="B27" i="1" s="1"/>
</calcChain>
</file>

<file path=xl/sharedStrings.xml><?xml version="1.0" encoding="utf-8"?>
<sst xmlns="http://schemas.openxmlformats.org/spreadsheetml/2006/main" count="312" uniqueCount="213">
  <si>
    <t>Type of product</t>
  </si>
  <si>
    <t>Temperature of product entering space</t>
  </si>
  <si>
    <t>Volume</t>
  </si>
  <si>
    <t>Volume of Space</t>
  </si>
  <si>
    <t>Product load Calculation</t>
  </si>
  <si>
    <t>Fiber Glass 4" Thick</t>
  </si>
  <si>
    <t>Fiber Glass 6" Thick</t>
  </si>
  <si>
    <t>Fiber Glass 8" Thick</t>
  </si>
  <si>
    <t>Polystyrene 4" Thick</t>
  </si>
  <si>
    <t>Polystyrene 6" Thick</t>
  </si>
  <si>
    <t>Polystyrene 8" Thick</t>
  </si>
  <si>
    <t>Foamed Urethane 4" Thick</t>
  </si>
  <si>
    <t>Foamed Urethane 6" Thick</t>
  </si>
  <si>
    <t xml:space="preserve">Concrete 6" </t>
  </si>
  <si>
    <t>Insulation</t>
  </si>
  <si>
    <t>Floor insulation value</t>
  </si>
  <si>
    <t>Retrieved Data</t>
  </si>
  <si>
    <t>Ceiling insulation value</t>
  </si>
  <si>
    <t>Wall insulation value</t>
  </si>
  <si>
    <t>Cu. Ft</t>
  </si>
  <si>
    <t>air changes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</si>
  <si>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</si>
  <si>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</si>
  <si>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</si>
  <si>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</si>
  <si>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</si>
  <si>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</si>
  <si>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</si>
  <si>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</si>
  <si>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</si>
  <si>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</si>
  <si>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</si>
  <si>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</si>
  <si>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</si>
  <si>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</si>
  <si>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</si>
  <si>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</si>
  <si>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</si>
  <si>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</si>
  <si>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</si>
  <si>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</si>
  <si>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</si>
  <si>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</si>
  <si>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</si>
  <si>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</si>
  <si>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</si>
  <si>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</si>
  <si>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</si>
  <si>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</si>
  <si>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</si>
  <si>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</si>
  <si>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</si>
  <si>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</si>
  <si>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</si>
  <si>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</si>
  <si>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</si>
  <si>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</si>
  <si>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</si>
  <si>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</si>
  <si>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</si>
  <si>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</si>
  <si>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</si>
  <si>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</si>
  <si>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</si>
  <si>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</si>
  <si>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</si>
  <si>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</si>
  <si>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</si>
  <si>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</si>
  <si>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</si>
  <si>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</si>
  <si>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</si>
  <si>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Utility Rates</t>
  </si>
  <si>
    <t>Ambient Temp</t>
  </si>
  <si>
    <t>Ground Temp</t>
  </si>
  <si>
    <t>Utility Rate</t>
  </si>
  <si>
    <t>Product</t>
  </si>
  <si>
    <t>Specific Heat above 32 F</t>
  </si>
  <si>
    <t>Specific Heat below 32F</t>
  </si>
  <si>
    <t>Meat</t>
  </si>
  <si>
    <t>Milk</t>
  </si>
  <si>
    <t>Mushrooms</t>
  </si>
  <si>
    <t>Beer</t>
  </si>
  <si>
    <t>Ice Cream</t>
  </si>
  <si>
    <t>Dried Fruit</t>
  </si>
  <si>
    <t>Air Change Load</t>
  </si>
  <si>
    <t>Air Change over factor</t>
  </si>
  <si>
    <t>Additional Loads (lights Motors, Glass Doors)</t>
  </si>
  <si>
    <t>Evaporators in Space</t>
  </si>
  <si>
    <t>Product Loading Estimate</t>
  </si>
  <si>
    <t>Ft</t>
  </si>
  <si>
    <t>Total BTU LOAD</t>
  </si>
  <si>
    <t>Calculations</t>
  </si>
  <si>
    <t>Estimated Annual KW-hr Used</t>
  </si>
  <si>
    <t>Assumptions</t>
  </si>
  <si>
    <t>Degree Multi.</t>
  </si>
  <si>
    <t>Transmission Loads</t>
  </si>
  <si>
    <t>Inside</t>
  </si>
  <si>
    <t>Outside</t>
  </si>
  <si>
    <t>Location of Walk-IN</t>
  </si>
  <si>
    <t>KE2 Evaporator Efficiency Savings Estimator</t>
  </si>
  <si>
    <t>Yrs</t>
  </si>
  <si>
    <t>Length of walk-in</t>
  </si>
  <si>
    <t>Width of walk-in</t>
  </si>
  <si>
    <t>Height of walk-in</t>
  </si>
  <si>
    <t>Number of glass doors</t>
  </si>
  <si>
    <t>Temperature of walk-in</t>
  </si>
  <si>
    <t>Location (adjusts for ambient and utilities)</t>
  </si>
  <si>
    <t xml:space="preserve">Estimated Payback For End User </t>
  </si>
  <si>
    <r>
      <rPr>
        <vertAlign val="superscript"/>
        <sz val="8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F</t>
    </r>
  </si>
  <si>
    <t>Is the walk-in located inside or outside</t>
  </si>
  <si>
    <t>Wall insulation type</t>
  </si>
  <si>
    <t>Ceiling insulation type</t>
  </si>
  <si>
    <t>Floor insulation type</t>
  </si>
  <si>
    <t>Heat Removed in cooling air 85F/60RH</t>
  </si>
  <si>
    <t>Air Change Over (&lt;32) Heavy</t>
  </si>
  <si>
    <t>Air Change Over (&gt;32) Heavy</t>
  </si>
  <si>
    <t>Freeze Point</t>
  </si>
  <si>
    <t>Cooler (&gt;32)</t>
  </si>
  <si>
    <t>Freezer (&lt;=32)</t>
  </si>
  <si>
    <t>Estimated Annual KW-hr Saved</t>
  </si>
  <si>
    <t>Estimated KW-hr saved annually</t>
  </si>
  <si>
    <t>Evaportators</t>
  </si>
  <si>
    <t>RAE Corp</t>
  </si>
  <si>
    <t>A Series</t>
  </si>
  <si>
    <t>Total Fan Motor Amps</t>
  </si>
  <si>
    <t>Model</t>
  </si>
  <si>
    <t>230/3</t>
  </si>
  <si>
    <t>410-126</t>
  </si>
  <si>
    <t>420-338</t>
  </si>
  <si>
    <t>440-841</t>
  </si>
  <si>
    <t>Defrost Heater Amps</t>
  </si>
  <si>
    <t>BOC Series</t>
  </si>
  <si>
    <t>420-800</t>
  </si>
  <si>
    <t>540-1533</t>
  </si>
  <si>
    <t>550-2208</t>
  </si>
  <si>
    <t>Larkin</t>
  </si>
  <si>
    <t>MLT6310SA</t>
  </si>
  <si>
    <t>MLT4165BA</t>
  </si>
  <si>
    <t>MLT4250BA</t>
  </si>
  <si>
    <t>LHE6450</t>
  </si>
  <si>
    <t>LHE61020</t>
  </si>
  <si>
    <t>LHL41440</t>
  </si>
  <si>
    <t>BTU Capacity @ Saturated Suction Temperatures</t>
  </si>
  <si>
    <t>Condensers</t>
  </si>
  <si>
    <t>RAE</t>
  </si>
  <si>
    <t>Compressor FLA</t>
  </si>
  <si>
    <t>Condenser Fan FLA</t>
  </si>
  <si>
    <t>DS05H4</t>
  </si>
  <si>
    <t>DS10H4</t>
  </si>
  <si>
    <t>BTU Capacity @ Saturated Suction Temperatures (95F Ambient)</t>
  </si>
  <si>
    <t>DS03L4</t>
  </si>
  <si>
    <t>DS11L4</t>
  </si>
  <si>
    <t>Bohn</t>
  </si>
  <si>
    <t>BD*0500M6</t>
  </si>
  <si>
    <t>BD*1000M6</t>
  </si>
  <si>
    <t>BD*1500M6</t>
  </si>
  <si>
    <t>BD*0400L6</t>
  </si>
  <si>
    <t>BD*1200L6</t>
  </si>
  <si>
    <t>BD*2200L6</t>
  </si>
  <si>
    <t>KW-hr/BTU (18 hr runtime)</t>
  </si>
  <si>
    <t>Used</t>
  </si>
  <si>
    <t>Average</t>
  </si>
  <si>
    <t>Keeprite</t>
  </si>
  <si>
    <t>118M</t>
  </si>
  <si>
    <t>245M</t>
  </si>
  <si>
    <t>116L</t>
  </si>
  <si>
    <t>232L</t>
  </si>
  <si>
    <t>228V</t>
  </si>
  <si>
    <t>KEZA010M6</t>
  </si>
  <si>
    <t>KEZA025M6</t>
  </si>
  <si>
    <t>KEZA035M6</t>
  </si>
  <si>
    <t>KEZA060L6</t>
  </si>
  <si>
    <t>KEZA150L6</t>
  </si>
  <si>
    <t>Latent Heat of Fusion</t>
  </si>
  <si>
    <t>Total System KW-Hr used for 18hr runtime, 4 defrost per day, 20 min</t>
  </si>
  <si>
    <t>W-hr/BTU(18 hr runtime, 4 defrost per day, 20 min defrost)</t>
  </si>
  <si>
    <t>Air Defrost</t>
  </si>
  <si>
    <t>Electric Defrost</t>
  </si>
  <si>
    <t>Compressor</t>
  </si>
  <si>
    <t>Fan</t>
  </si>
  <si>
    <t>Low Temp</t>
  </si>
  <si>
    <t>Med Temp</t>
  </si>
  <si>
    <t>These units are the best average units on the KW-Calc page</t>
  </si>
  <si>
    <t>Electric Defrost has 4 20 min defrost per day</t>
  </si>
  <si>
    <t>Air Defrost has the evap fans running 24 hrs per day</t>
  </si>
  <si>
    <t>18 hr pull down used for Air and Electric Defrost units</t>
  </si>
  <si>
    <t xml:space="preserve">Used same Evap coil data for Electric Defrost unit and did not use heaters to calculate Air Defrost </t>
  </si>
  <si>
    <t>Averaged W-hr/Btu factor for data point not available</t>
  </si>
  <si>
    <t>Type of Defrost</t>
  </si>
  <si>
    <t>Number of Defrost per Day</t>
  </si>
  <si>
    <t>Electric</t>
  </si>
  <si>
    <t>Air (Off Time)</t>
  </si>
  <si>
    <t>Air</t>
  </si>
  <si>
    <t xml:space="preserve">This is an estimating tool for walk-in coolers and freezers with electric or air defrost, mechanical expansion valves 18 hr pull down, &amp; heavy traffic conditions.  All systems will vary and your savings may be more or less than the savings generated by this estimator. </t>
  </si>
  <si>
    <t>Added 10% penalty on efficiency factor to reflect used equipment</t>
  </si>
  <si>
    <t xml:space="preserve">Compressor </t>
  </si>
  <si>
    <t>Customer:</t>
  </si>
  <si>
    <t>Job Name:</t>
  </si>
  <si>
    <t>Location:</t>
  </si>
  <si>
    <t>British Columbia</t>
  </si>
  <si>
    <t>Alberta</t>
  </si>
  <si>
    <t>Saskatchewan</t>
  </si>
  <si>
    <t>Manitoba</t>
  </si>
  <si>
    <t>Ontario</t>
  </si>
  <si>
    <t>Quebec</t>
  </si>
  <si>
    <t>Nova Scotia</t>
  </si>
  <si>
    <t>New Brunswick</t>
  </si>
  <si>
    <t>Prince Edward Island</t>
  </si>
  <si>
    <t>Newfoundland</t>
  </si>
  <si>
    <t>US or Canada</t>
  </si>
  <si>
    <t>US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</si>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</sst>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quotePrefix="1"/>
    <xf numFmtId="166" fontId="0" fillId="0" borderId="0" xfId="0" applyNumberFormat="1"/>
    <xf numFmtId="0" fontId="0" fillId="0" borderId="0" xfId="0" applyProtection="1"/>
    <xf numFmtId="0" fontId="3" fillId="0" borderId="0" xfId="0" applyFon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Alignment="1" applyProtection="1">
      <alignment horizontal="left" vertical="center" wrapText="1"/>
    </xf>
    <xf numFmtId="0" fontId="0" fillId="0" borderId="0" xfId="0" applyBorder="1" applyProtection="1"/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4" fontId="6" fillId="0" borderId="0" xfId="0" applyNumberFormat="1" applyFont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" fillId="0" borderId="0" xfId="0" applyFont="1" applyProtection="1"/>
    <xf numFmtId="0" fontId="0" fillId="2" borderId="0" xfId="0" applyFill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164" fontId="0" fillId="2" borderId="0" xfId="0" applyNumberFormat="1" applyFill="1" applyAlignment="1" applyProtection="1">
      <alignment horizontal="right" vertical="center"/>
      <protection locked="0"/>
    </xf>
    <xf numFmtId="0" fontId="0" fillId="0" borderId="0" xfId="0" quotePrefix="1" applyAlignment="1" applyProtection="1">
      <alignment vertic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/>
    <xf numFmtId="0" fontId="1" fillId="0" borderId="3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vertical="center"/>
    </xf>
    <xf numFmtId="1" fontId="1" fillId="0" borderId="4" xfId="0" applyNumberFormat="1" applyFont="1" applyBorder="1" applyAlignment="1" applyProtection="1">
      <alignment vertical="center"/>
    </xf>
    <xf numFmtId="165" fontId="1" fillId="0" borderId="6" xfId="0" applyNumberFormat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ill="1" applyBorder="1"/>
    <xf numFmtId="0" fontId="0" fillId="0" borderId="7" xfId="0" applyFill="1" applyBorder="1"/>
    <xf numFmtId="0" fontId="1" fillId="0" borderId="3" xfId="0" applyFont="1" applyBorder="1"/>
    <xf numFmtId="0" fontId="1" fillId="0" borderId="0" xfId="0" applyFont="1" applyBorder="1"/>
    <xf numFmtId="6" fontId="0" fillId="0" borderId="0" xfId="0" applyNumberFormat="1" applyFill="1" applyBorder="1" applyAlignment="1" applyProtection="1">
      <alignment vertical="center"/>
    </xf>
    <xf numFmtId="0" fontId="7" fillId="0" borderId="0" xfId="0" applyFont="1" applyAlignment="1" applyProtection="1">
      <alignment vertical="top" wrapText="1"/>
    </xf>
    <xf numFmtId="5" fontId="0" fillId="2" borderId="0" xfId="1" applyNumberFormat="1" applyFont="1" applyFill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Border="1" applyAlignment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3" xfId="0" applyFill="1" applyBorder="1"/>
    <xf numFmtId="0" fontId="0" fillId="0" borderId="3" xfId="0" applyFill="1" applyBorder="1"/>
    <xf numFmtId="0" fontId="0" fillId="5" borderId="0" xfId="0" applyFill="1"/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Fill="1" applyBorder="1" applyAlignment="1">
      <alignment horizontal="center" wrapText="1"/>
    </xf>
    <xf numFmtId="0" fontId="1" fillId="0" borderId="0" xfId="0" applyFont="1" applyFill="1" applyBorder="1" applyProtection="1"/>
    <xf numFmtId="3" fontId="1" fillId="0" borderId="0" xfId="0" applyNumberFormat="1" applyFont="1" applyBorder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 vertical="top" wrapText="1"/>
    </xf>
    <xf numFmtId="0" fontId="1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vertical="center"/>
    </xf>
    <xf numFmtId="3" fontId="0" fillId="0" borderId="0" xfId="0" applyNumberFormat="1" applyFill="1" applyBorder="1" applyProtection="1"/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quotePrefix="1" applyBorder="1" applyProtection="1"/>
    <xf numFmtId="0" fontId="0" fillId="0" borderId="0" xfId="0" applyBorder="1" applyAlignment="1" applyProtection="1">
      <alignment vertical="top" wrapText="1"/>
    </xf>
    <xf numFmtId="0" fontId="1" fillId="0" borderId="0" xfId="0" applyFont="1" applyBorder="1" applyProtection="1"/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Protection="1"/>
    <xf numFmtId="0" fontId="1" fillId="0" borderId="5" xfId="0" applyFont="1" applyBorder="1" applyProtection="1"/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top" wrapText="1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BECE4"/>
      <color rgb="FFE4E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2771775</xdr:colOff>
      <xdr:row>5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717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80"/>
  <sheetViews>
    <sheetView tabSelected="1" workbookViewId="0">
      <selection activeCell="B9" sqref="B9"/>
    </sheetView>
  </sheetViews>
  <sheetFormatPr defaultRowHeight="15" x14ac:dyDescent="0.25"/>
  <cols>
    <col min="1" max="1" width="47" style="3" customWidth="1"/>
    <col min="2" max="2" width="24.5703125" style="3" customWidth="1"/>
    <col min="3" max="3" width="4.5703125" style="3" customWidth="1"/>
    <col min="4" max="4" width="19.28515625" style="3" customWidth="1"/>
    <col min="5" max="6" width="15.140625" style="3" customWidth="1"/>
    <col min="7" max="7" width="23.5703125" style="10" customWidth="1"/>
    <col min="8" max="8" width="15.140625" style="10" customWidth="1"/>
    <col min="9" max="9" width="26.28515625" style="79" hidden="1" customWidth="1"/>
    <col min="10" max="10" width="9.140625" style="79" hidden="1" customWidth="1"/>
    <col min="11" max="11" width="21.5703125" style="10" hidden="1" customWidth="1"/>
    <col min="12" max="12" width="24.7109375" style="10" hidden="1" customWidth="1"/>
    <col min="13" max="13" width="13" style="10" hidden="1" customWidth="1"/>
    <col min="14" max="14" width="16.28515625" style="10" hidden="1" customWidth="1"/>
    <col min="15" max="15" width="12.42578125" style="10" hidden="1" customWidth="1"/>
    <col min="16" max="16" width="14.42578125" style="10" hidden="1" customWidth="1"/>
    <col min="17" max="18" width="13" style="10" hidden="1" customWidth="1"/>
    <col min="19" max="19" width="16.85546875" style="10" hidden="1" customWidth="1"/>
    <col min="20" max="20" width="17.42578125" style="10" hidden="1" customWidth="1"/>
    <col min="21" max="21" width="22.85546875" style="10" hidden="1" customWidth="1"/>
    <col min="22" max="22" width="12.140625" style="10" hidden="1" customWidth="1"/>
    <col min="23" max="23" width="12.28515625" style="10" hidden="1" customWidth="1"/>
    <col min="24" max="24" width="9.140625" style="10" hidden="1" customWidth="1"/>
    <col min="25" max="27" width="9.140625" style="10" customWidth="1"/>
    <col min="28" max="45" width="9.140625" style="10"/>
    <col min="46" max="16384" width="9.140625" style="3"/>
  </cols>
  <sheetData>
    <row r="1" spans="1:23" x14ac:dyDescent="0.25">
      <c r="J1" s="4"/>
      <c r="N1" s="21"/>
    </row>
    <row r="2" spans="1:23" ht="30.75" customHeight="1" x14ac:dyDescent="0.25">
      <c r="B2" s="100" t="s">
        <v>100</v>
      </c>
      <c r="C2" s="100"/>
      <c r="D2" s="100"/>
      <c r="G2" s="21"/>
      <c r="H2" s="21"/>
      <c r="I2" s="4"/>
      <c r="J2" s="4"/>
      <c r="K2" s="21"/>
      <c r="L2" s="21"/>
      <c r="M2" s="21"/>
      <c r="N2" s="21"/>
      <c r="O2" s="21"/>
      <c r="P2" s="21"/>
      <c r="Q2" s="21"/>
      <c r="R2" s="95"/>
      <c r="S2" s="80"/>
      <c r="T2" s="80"/>
      <c r="U2" s="80"/>
    </row>
    <row r="3" spans="1:23" x14ac:dyDescent="0.25">
      <c r="B3" s="100"/>
      <c r="C3" s="100"/>
      <c r="D3" s="100"/>
      <c r="G3" s="21"/>
      <c r="H3" s="21"/>
      <c r="I3" s="4"/>
      <c r="J3" s="4"/>
      <c r="K3" s="21"/>
      <c r="L3" s="21"/>
      <c r="M3" s="21"/>
      <c r="N3" s="21"/>
      <c r="O3" s="21"/>
      <c r="P3" s="21"/>
      <c r="Q3" s="21"/>
      <c r="R3" s="95"/>
      <c r="S3" s="80"/>
      <c r="T3" s="80"/>
      <c r="U3" s="80"/>
    </row>
    <row r="4" spans="1:23" x14ac:dyDescent="0.25">
      <c r="B4" s="100"/>
      <c r="C4" s="100"/>
      <c r="D4" s="100"/>
      <c r="G4" s="21"/>
      <c r="H4" s="21"/>
      <c r="I4" s="4"/>
      <c r="J4" s="4"/>
      <c r="K4" s="21"/>
      <c r="L4" s="21"/>
      <c r="M4" s="21"/>
      <c r="N4" s="21"/>
      <c r="O4" s="21"/>
      <c r="P4" s="21"/>
      <c r="Q4" s="21"/>
      <c r="R4" s="95"/>
      <c r="S4" s="80"/>
      <c r="T4" s="80"/>
      <c r="U4" s="80"/>
    </row>
    <row r="5" spans="1:23" x14ac:dyDescent="0.25">
      <c r="G5" s="27"/>
      <c r="H5" s="27"/>
      <c r="I5" s="4"/>
      <c r="J5" s="4"/>
      <c r="K5" s="21"/>
      <c r="L5" s="21"/>
      <c r="M5" s="21"/>
      <c r="N5" s="21"/>
      <c r="O5" s="21"/>
      <c r="P5" s="21"/>
      <c r="Q5" s="21"/>
      <c r="R5" s="95"/>
      <c r="S5" s="80"/>
      <c r="T5" s="80"/>
      <c r="U5" s="80"/>
    </row>
    <row r="6" spans="1:23" x14ac:dyDescent="0.25">
      <c r="A6" s="94" t="s">
        <v>197</v>
      </c>
      <c r="B6" s="104"/>
      <c r="C6" s="104"/>
      <c r="D6" s="104"/>
      <c r="E6" s="104"/>
      <c r="G6" s="27"/>
      <c r="H6" s="27"/>
      <c r="I6" s="4"/>
      <c r="J6" s="4"/>
      <c r="K6" s="21"/>
      <c r="L6" s="21"/>
      <c r="M6" s="21"/>
      <c r="N6" s="21"/>
      <c r="O6" s="21"/>
      <c r="P6" s="21"/>
      <c r="Q6" s="21"/>
      <c r="R6" s="95"/>
      <c r="S6" s="80"/>
      <c r="T6" s="80"/>
      <c r="U6" s="80"/>
    </row>
    <row r="7" spans="1:23" x14ac:dyDescent="0.25">
      <c r="A7" s="94" t="s">
        <v>198</v>
      </c>
      <c r="B7" s="105"/>
      <c r="C7" s="105"/>
      <c r="D7" s="105"/>
      <c r="E7" s="105"/>
      <c r="G7" s="27"/>
      <c r="H7" s="27"/>
      <c r="I7" s="4"/>
      <c r="J7" s="4"/>
      <c r="K7" s="21"/>
      <c r="L7" s="21"/>
      <c r="M7" s="21"/>
      <c r="N7" s="21"/>
      <c r="O7" s="21"/>
      <c r="P7" s="21"/>
      <c r="Q7" s="21"/>
      <c r="R7" s="95"/>
      <c r="S7" s="80"/>
      <c r="T7" s="80"/>
      <c r="U7" s="80"/>
    </row>
    <row r="8" spans="1:23" x14ac:dyDescent="0.25">
      <c r="A8" s="94" t="s">
        <v>199</v>
      </c>
      <c r="B8" s="105"/>
      <c r="C8" s="105"/>
      <c r="D8" s="105"/>
      <c r="E8" s="105"/>
      <c r="G8" s="27"/>
      <c r="H8" s="27"/>
      <c r="I8" s="4"/>
      <c r="J8" s="4"/>
      <c r="K8" s="21"/>
      <c r="L8" s="21"/>
      <c r="M8" s="21"/>
      <c r="N8" s="21"/>
      <c r="O8" s="21"/>
      <c r="P8" s="21"/>
      <c r="Q8" s="21"/>
      <c r="R8" s="95"/>
      <c r="S8" s="80"/>
      <c r="T8" s="80"/>
      <c r="U8" s="80"/>
    </row>
    <row r="9" spans="1:23" ht="17.100000000000001" customHeight="1" x14ac:dyDescent="0.25">
      <c r="A9" s="3" t="s">
        <v>102</v>
      </c>
      <c r="B9" s="17">
        <v>15</v>
      </c>
      <c r="C9" s="18" t="s">
        <v>90</v>
      </c>
      <c r="H9" s="22"/>
      <c r="I9" s="4"/>
      <c r="J9" s="4"/>
      <c r="K9" s="21"/>
      <c r="L9" s="21"/>
      <c r="M9" s="21"/>
      <c r="N9" s="21"/>
      <c r="O9" s="21"/>
      <c r="P9" s="21"/>
      <c r="Q9" s="21"/>
      <c r="R9" s="95"/>
      <c r="S9" s="80"/>
      <c r="T9" s="80"/>
      <c r="U9" s="80"/>
    </row>
    <row r="10" spans="1:23" ht="17.100000000000001" customHeight="1" x14ac:dyDescent="0.25">
      <c r="A10" s="3" t="s">
        <v>103</v>
      </c>
      <c r="B10" s="17">
        <v>12</v>
      </c>
      <c r="C10" s="18" t="s">
        <v>90</v>
      </c>
      <c r="H10" s="23"/>
      <c r="I10" s="4"/>
      <c r="J10" s="4"/>
      <c r="K10" s="21"/>
      <c r="L10" s="21"/>
      <c r="M10" s="21"/>
      <c r="N10" s="21"/>
      <c r="O10" s="21"/>
      <c r="P10" s="21"/>
      <c r="Q10" s="21"/>
      <c r="R10" s="95"/>
      <c r="S10" s="98" t="s">
        <v>76</v>
      </c>
      <c r="T10" s="98" t="s">
        <v>77</v>
      </c>
      <c r="U10" s="98" t="s">
        <v>78</v>
      </c>
      <c r="V10" s="80" t="s">
        <v>117</v>
      </c>
      <c r="W10" s="98" t="s">
        <v>174</v>
      </c>
    </row>
    <row r="11" spans="1:23" ht="17.100000000000001" customHeight="1" x14ac:dyDescent="0.25">
      <c r="A11" s="3" t="s">
        <v>104</v>
      </c>
      <c r="B11" s="17">
        <v>8</v>
      </c>
      <c r="C11" s="18" t="s">
        <v>90</v>
      </c>
      <c r="H11" s="23"/>
      <c r="I11" s="82" t="s">
        <v>16</v>
      </c>
      <c r="J11" s="4"/>
      <c r="K11" s="21" t="s">
        <v>88</v>
      </c>
      <c r="L11" s="99" t="s">
        <v>14</v>
      </c>
      <c r="M11" s="99"/>
      <c r="N11" s="21"/>
      <c r="O11" s="21" t="s">
        <v>72</v>
      </c>
      <c r="P11" s="21" t="s">
        <v>73</v>
      </c>
      <c r="Q11" s="21" t="s">
        <v>74</v>
      </c>
      <c r="R11" s="95" t="s">
        <v>210</v>
      </c>
      <c r="S11" s="98"/>
      <c r="T11" s="98"/>
      <c r="U11" s="98"/>
      <c r="W11" s="98"/>
    </row>
    <row r="12" spans="1:23" ht="17.100000000000001" customHeight="1" x14ac:dyDescent="0.25">
      <c r="A12" s="3" t="s">
        <v>105</v>
      </c>
      <c r="B12" s="17">
        <v>1</v>
      </c>
      <c r="C12" s="18"/>
      <c r="H12" s="22"/>
      <c r="I12" s="4" t="s">
        <v>17</v>
      </c>
      <c r="J12" s="4">
        <f>LOOKUP(B17,L13:M20)</f>
        <v>0.72</v>
      </c>
      <c r="K12" s="5">
        <v>1</v>
      </c>
      <c r="L12" s="5" t="s">
        <v>14</v>
      </c>
      <c r="M12" s="5" t="s">
        <v>95</v>
      </c>
      <c r="N12" s="83" t="s">
        <v>21</v>
      </c>
      <c r="O12" s="5">
        <v>0.1009</v>
      </c>
      <c r="P12" s="5">
        <v>95</v>
      </c>
      <c r="Q12" s="5">
        <v>75</v>
      </c>
      <c r="R12" s="5" t="s">
        <v>211</v>
      </c>
      <c r="S12" s="5" t="s">
        <v>82</v>
      </c>
      <c r="T12" s="6">
        <v>0.92</v>
      </c>
      <c r="U12" s="5">
        <v>0.92</v>
      </c>
      <c r="V12" s="6">
        <v>28</v>
      </c>
      <c r="W12" s="6">
        <v>129</v>
      </c>
    </row>
    <row r="13" spans="1:23" ht="17.100000000000001" customHeight="1" x14ac:dyDescent="0.25">
      <c r="A13" s="7" t="s">
        <v>106</v>
      </c>
      <c r="B13" s="17">
        <v>-10</v>
      </c>
      <c r="C13" s="18" t="s">
        <v>109</v>
      </c>
      <c r="D13" s="102" t="str">
        <f>IF(AND(B13&lt;34,B14=K29),"Must have Electric Defrost Below 34F", " ")</f>
        <v xml:space="preserve"> </v>
      </c>
      <c r="H13" s="23"/>
      <c r="I13" s="4" t="s">
        <v>15</v>
      </c>
      <c r="J13" s="4">
        <f>LOOKUP(B16,L13:M21)</f>
        <v>0.72</v>
      </c>
      <c r="K13" s="5">
        <v>2</v>
      </c>
      <c r="L13" s="5" t="s">
        <v>13</v>
      </c>
      <c r="M13" s="5">
        <v>5</v>
      </c>
      <c r="N13" s="83" t="s">
        <v>22</v>
      </c>
      <c r="O13" s="5">
        <v>0.14610000000000001</v>
      </c>
      <c r="P13" s="5">
        <v>82</v>
      </c>
      <c r="Q13" s="6">
        <v>40</v>
      </c>
      <c r="R13" s="6" t="s">
        <v>211</v>
      </c>
      <c r="S13" s="5" t="s">
        <v>84</v>
      </c>
      <c r="T13" s="6">
        <v>0.47</v>
      </c>
      <c r="U13" s="6">
        <v>0.32</v>
      </c>
      <c r="V13" s="6">
        <v>4</v>
      </c>
      <c r="W13" s="6">
        <v>29</v>
      </c>
    </row>
    <row r="14" spans="1:23" ht="17.100000000000001" customHeight="1" x14ac:dyDescent="0.25">
      <c r="A14" s="7" t="s">
        <v>189</v>
      </c>
      <c r="B14" s="17" t="s">
        <v>191</v>
      </c>
      <c r="C14" s="18"/>
      <c r="D14" s="102"/>
      <c r="G14" s="25"/>
      <c r="H14" s="84"/>
      <c r="I14" s="4" t="s">
        <v>18</v>
      </c>
      <c r="J14" s="4">
        <f>LOOKUP(B18,L13:M20)</f>
        <v>0.72</v>
      </c>
      <c r="K14" s="5">
        <v>3</v>
      </c>
      <c r="L14" s="5" t="s">
        <v>5</v>
      </c>
      <c r="M14" s="5">
        <v>1.44</v>
      </c>
      <c r="N14" s="83" t="s">
        <v>201</v>
      </c>
      <c r="O14" s="5">
        <v>0.1</v>
      </c>
      <c r="P14" s="5">
        <v>95</v>
      </c>
      <c r="Q14" s="6">
        <v>55</v>
      </c>
      <c r="R14" s="6" t="s">
        <v>212</v>
      </c>
      <c r="S14" s="5" t="s">
        <v>83</v>
      </c>
      <c r="T14" s="6">
        <v>0.7</v>
      </c>
      <c r="U14" s="6">
        <v>0.38</v>
      </c>
      <c r="V14" s="6">
        <v>21</v>
      </c>
      <c r="W14" s="6">
        <v>86</v>
      </c>
    </row>
    <row r="15" spans="1:23" ht="17.100000000000001" customHeight="1" x14ac:dyDescent="0.25">
      <c r="A15" s="3" t="s">
        <v>107</v>
      </c>
      <c r="B15" s="17" t="s">
        <v>21</v>
      </c>
      <c r="C15" s="18"/>
      <c r="D15" s="102"/>
      <c r="F15" s="8"/>
      <c r="G15" s="25"/>
      <c r="H15" s="84"/>
      <c r="I15" s="4" t="s">
        <v>75</v>
      </c>
      <c r="J15" s="4">
        <f>LOOKUP(B15,N12:O72)</f>
        <v>0.1009</v>
      </c>
      <c r="K15" s="5">
        <v>4</v>
      </c>
      <c r="L15" s="5" t="s">
        <v>6</v>
      </c>
      <c r="M15" s="5">
        <v>0.9</v>
      </c>
      <c r="N15" s="83" t="s">
        <v>23</v>
      </c>
      <c r="O15" s="5">
        <v>0.1038</v>
      </c>
      <c r="P15" s="5">
        <v>105</v>
      </c>
      <c r="Q15" s="6">
        <v>80</v>
      </c>
      <c r="R15" s="6" t="s">
        <v>211</v>
      </c>
      <c r="S15" s="5" t="s">
        <v>79</v>
      </c>
      <c r="T15" s="6">
        <v>0.8</v>
      </c>
      <c r="U15" s="6">
        <v>0.4</v>
      </c>
      <c r="V15" s="6">
        <v>28</v>
      </c>
      <c r="W15" s="6">
        <v>105</v>
      </c>
    </row>
    <row r="16" spans="1:23" ht="17.100000000000001" customHeight="1" x14ac:dyDescent="0.25">
      <c r="A16" s="3" t="s">
        <v>113</v>
      </c>
      <c r="B16" s="17" t="s">
        <v>11</v>
      </c>
      <c r="C16" s="18"/>
      <c r="F16" s="9"/>
      <c r="G16" s="26"/>
      <c r="H16" s="52"/>
      <c r="I16" s="4" t="s">
        <v>73</v>
      </c>
      <c r="J16" s="4">
        <f>IF(B21=K17,75,LOOKUP(B15,N12:N72,P12:P72))</f>
        <v>95</v>
      </c>
      <c r="K16" s="21" t="s">
        <v>99</v>
      </c>
      <c r="L16" s="5" t="s">
        <v>7</v>
      </c>
      <c r="M16" s="5">
        <v>0.72</v>
      </c>
      <c r="N16" s="83" t="s">
        <v>24</v>
      </c>
      <c r="O16" s="5">
        <v>7.0599999999999996E-2</v>
      </c>
      <c r="P16" s="5">
        <v>95</v>
      </c>
      <c r="Q16" s="6">
        <v>70</v>
      </c>
      <c r="R16" s="6" t="s">
        <v>211</v>
      </c>
      <c r="S16" s="5" t="s">
        <v>80</v>
      </c>
      <c r="T16" s="6">
        <v>0.93</v>
      </c>
      <c r="U16" s="6">
        <v>0.49</v>
      </c>
      <c r="V16" s="6">
        <v>31</v>
      </c>
      <c r="W16" s="6">
        <v>124</v>
      </c>
    </row>
    <row r="17" spans="1:28" ht="17.100000000000001" customHeight="1" x14ac:dyDescent="0.25">
      <c r="A17" s="3" t="s">
        <v>112</v>
      </c>
      <c r="B17" s="17" t="s">
        <v>11</v>
      </c>
      <c r="C17" s="18"/>
      <c r="E17" s="8"/>
      <c r="F17" s="9"/>
      <c r="G17" s="26"/>
      <c r="H17" s="52"/>
      <c r="I17" s="4" t="s">
        <v>74</v>
      </c>
      <c r="J17" s="4">
        <f>LOOKUP(B15,N12:N72,Q12:Q72)</f>
        <v>75</v>
      </c>
      <c r="K17" s="6" t="s">
        <v>97</v>
      </c>
      <c r="L17" s="5" t="s">
        <v>11</v>
      </c>
      <c r="M17" s="5">
        <v>0.72</v>
      </c>
      <c r="N17" s="83" t="s">
        <v>200</v>
      </c>
      <c r="O17" s="5">
        <v>0.09</v>
      </c>
      <c r="P17" s="5">
        <v>93</v>
      </c>
      <c r="Q17" s="6">
        <v>70</v>
      </c>
      <c r="R17" s="6" t="s">
        <v>212</v>
      </c>
      <c r="S17" s="5" t="s">
        <v>81</v>
      </c>
      <c r="T17" s="6">
        <v>0.93</v>
      </c>
      <c r="U17" s="6">
        <v>0.47</v>
      </c>
      <c r="V17" s="6">
        <v>30.4</v>
      </c>
      <c r="W17" s="6">
        <v>130</v>
      </c>
    </row>
    <row r="18" spans="1:28" ht="17.100000000000001" customHeight="1" x14ac:dyDescent="0.25">
      <c r="A18" s="3" t="s">
        <v>111</v>
      </c>
      <c r="B18" s="17" t="s">
        <v>11</v>
      </c>
      <c r="C18" s="18"/>
      <c r="D18" s="24"/>
      <c r="E18" s="24"/>
      <c r="F18" s="9"/>
      <c r="G18" s="26"/>
      <c r="H18" s="52"/>
      <c r="I18" s="4" t="s">
        <v>86</v>
      </c>
      <c r="J18" s="4">
        <f>IF(B13&gt;$J$19,LOOKUP(J22,L25:M51),LOOKUP(J22,L54:M80))</f>
        <v>27</v>
      </c>
      <c r="K18" s="5" t="s">
        <v>98</v>
      </c>
      <c r="L18" s="5" t="s">
        <v>12</v>
      </c>
      <c r="M18" s="5">
        <v>0.48</v>
      </c>
      <c r="N18" s="83" t="s">
        <v>25</v>
      </c>
      <c r="O18" s="5">
        <v>0.16570000000000001</v>
      </c>
      <c r="P18" s="5">
        <v>105</v>
      </c>
      <c r="Q18" s="6">
        <v>75</v>
      </c>
      <c r="R18" s="6" t="s">
        <v>211</v>
      </c>
      <c r="S18" s="101" t="s">
        <v>89</v>
      </c>
      <c r="T18" s="101"/>
      <c r="U18" s="101"/>
    </row>
    <row r="19" spans="1:28" ht="17.100000000000001" customHeight="1" x14ac:dyDescent="0.25">
      <c r="A19" s="3" t="s">
        <v>0</v>
      </c>
      <c r="B19" s="17" t="s">
        <v>83</v>
      </c>
      <c r="C19" s="18"/>
      <c r="D19" s="24"/>
      <c r="E19" s="24"/>
      <c r="F19" s="9"/>
      <c r="G19" s="26"/>
      <c r="H19" s="52"/>
      <c r="I19" s="4" t="s">
        <v>117</v>
      </c>
      <c r="J19" s="79">
        <f>LOOKUP(B19,S12:S17,V12:V17)</f>
        <v>21</v>
      </c>
      <c r="K19" s="98" t="s">
        <v>190</v>
      </c>
      <c r="L19" s="5" t="s">
        <v>8</v>
      </c>
      <c r="M19" s="5">
        <v>1.44</v>
      </c>
      <c r="N19" s="83" t="s">
        <v>26</v>
      </c>
      <c r="O19" s="5">
        <v>9.5899999999999999E-2</v>
      </c>
      <c r="P19" s="5">
        <v>95</v>
      </c>
      <c r="Q19" s="6">
        <v>60</v>
      </c>
      <c r="R19" s="6" t="s">
        <v>211</v>
      </c>
      <c r="S19" s="6" t="s">
        <v>2</v>
      </c>
      <c r="T19" s="10" t="s">
        <v>118</v>
      </c>
      <c r="U19" s="10" t="s">
        <v>119</v>
      </c>
    </row>
    <row r="20" spans="1:28" ht="17.100000000000001" customHeight="1" x14ac:dyDescent="0.25">
      <c r="A20" s="3" t="s">
        <v>1</v>
      </c>
      <c r="B20" s="17">
        <v>15</v>
      </c>
      <c r="C20" s="18" t="s">
        <v>109</v>
      </c>
      <c r="D20" s="24"/>
      <c r="E20" s="24"/>
      <c r="F20" s="9"/>
      <c r="G20" s="86"/>
      <c r="K20" s="98"/>
      <c r="L20" s="5" t="s">
        <v>9</v>
      </c>
      <c r="M20" s="5">
        <v>0.9</v>
      </c>
      <c r="N20" s="83" t="s">
        <v>27</v>
      </c>
      <c r="O20" s="5">
        <v>0.16510000000000002</v>
      </c>
      <c r="P20" s="5">
        <v>95</v>
      </c>
      <c r="Q20" s="6">
        <v>65</v>
      </c>
      <c r="R20" s="6" t="s">
        <v>211</v>
      </c>
      <c r="S20" s="6">
        <v>0</v>
      </c>
      <c r="T20" s="6">
        <v>4000</v>
      </c>
      <c r="U20" s="6">
        <v>1000</v>
      </c>
    </row>
    <row r="21" spans="1:28" ht="17.100000000000001" customHeight="1" x14ac:dyDescent="0.25">
      <c r="A21" s="3" t="s">
        <v>110</v>
      </c>
      <c r="B21" s="17" t="s">
        <v>98</v>
      </c>
      <c r="D21" s="24"/>
      <c r="E21" s="24"/>
      <c r="F21" s="9"/>
      <c r="I21" s="77" t="s">
        <v>92</v>
      </c>
      <c r="K21" s="5">
        <v>1</v>
      </c>
      <c r="L21" s="5" t="s">
        <v>10</v>
      </c>
      <c r="M21" s="5">
        <v>0.72</v>
      </c>
      <c r="N21" s="83" t="s">
        <v>28</v>
      </c>
      <c r="O21" s="5">
        <v>0.1137</v>
      </c>
      <c r="P21" s="5">
        <v>95</v>
      </c>
      <c r="Q21" s="6">
        <v>65</v>
      </c>
      <c r="R21" s="6" t="s">
        <v>211</v>
      </c>
      <c r="S21" s="6">
        <v>500</v>
      </c>
      <c r="T21" s="6">
        <v>6200</v>
      </c>
      <c r="U21" s="6">
        <v>1600</v>
      </c>
    </row>
    <row r="22" spans="1:28" ht="17.100000000000001" customHeight="1" x14ac:dyDescent="0.25">
      <c r="A22" s="3" t="str">
        <f>IF(LOOKUP($B$15,$N$12:$N$72,$R$12:$R$72)="US","Estimated installation cost (labor &amp; parts)            ($US)","Estimated installation cost (labor &amp; parts)            ($CA)")</f>
        <v>Estimated installation cost (labor &amp; parts)            ($US)</v>
      </c>
      <c r="B22" s="19">
        <v>350</v>
      </c>
      <c r="C22" s="18"/>
      <c r="D22" s="24"/>
      <c r="E22" s="24"/>
      <c r="F22" s="11"/>
      <c r="I22" s="79" t="s">
        <v>3</v>
      </c>
      <c r="J22" s="85">
        <f>B9*B10*B11</f>
        <v>1440</v>
      </c>
      <c r="K22" s="5">
        <v>2</v>
      </c>
      <c r="L22" s="5"/>
      <c r="M22" s="5"/>
      <c r="N22" s="83" t="s">
        <v>29</v>
      </c>
      <c r="O22" s="5">
        <v>0.15259999999999999</v>
      </c>
      <c r="P22" s="5">
        <v>95</v>
      </c>
      <c r="Q22" s="6">
        <v>65</v>
      </c>
      <c r="R22" s="6" t="s">
        <v>211</v>
      </c>
      <c r="S22" s="6">
        <v>3000</v>
      </c>
      <c r="T22" s="6">
        <v>8000</v>
      </c>
      <c r="U22" s="6">
        <v>2000</v>
      </c>
    </row>
    <row r="23" spans="1:28" ht="22.5" customHeight="1" thickBot="1" x14ac:dyDescent="0.3">
      <c r="A23" s="3" t="str">
        <f>IF(LOOKUP($B$15,$N$12:$N$72,$R$12:$R$72)="US","Utilities Rebates                                                               ($US)","Utilities Rebates                                                               ($CA)")</f>
        <v>Utilities Rebates                                                               ($US)</v>
      </c>
      <c r="B23" s="54">
        <v>0</v>
      </c>
      <c r="C23" s="18"/>
      <c r="D23" s="24"/>
      <c r="E23" s="24"/>
      <c r="F23" s="12"/>
      <c r="I23" s="79" t="s">
        <v>4</v>
      </c>
      <c r="J23" s="85">
        <f>(((IF($B$13&gt;32,LOOKUP($J$22,$S$20:$T$30),LOOKUP($J$22,$S$20:$S$31,$U$20:$U$31)))*((IF(AND($B$20&gt;$J$19,$B$13&gt;$J$19),((LOOKUP($B$19,$S$12:$T$17))*($B$20-$B$13)),0))+(IF($B$20&lt;=$J$19,((LOOKUP(B19,$S$12:$S$17,$U$12:$U$17))*($B$20-$B$13)),0))+(IF(AND(B20&gt;J19,B13&lt;=J19),((LOOKUP(B19,S12:S17,T12:T17)*(B20-J19))+(LOOKUP(B19,S12:S17,U12:U17)*(J19-B13))+(LOOKUP(B19,S12:S17,W12:W17))),0)))))</f>
        <v>15200</v>
      </c>
      <c r="K23" s="5">
        <v>3</v>
      </c>
      <c r="L23" s="99" t="s">
        <v>116</v>
      </c>
      <c r="M23" s="99"/>
      <c r="N23" s="83" t="s">
        <v>30</v>
      </c>
      <c r="O23" s="5">
        <v>9.8100000000000007E-2</v>
      </c>
      <c r="P23" s="5">
        <v>95</v>
      </c>
      <c r="Q23" s="6">
        <v>80</v>
      </c>
      <c r="R23" s="6" t="s">
        <v>211</v>
      </c>
      <c r="S23" s="6">
        <v>4600</v>
      </c>
      <c r="T23" s="6">
        <v>11000</v>
      </c>
      <c r="U23" s="6">
        <v>2500</v>
      </c>
    </row>
    <row r="24" spans="1:28" ht="22.5" customHeight="1" x14ac:dyDescent="0.25">
      <c r="A24" s="96" t="str">
        <f>IF(LOOKUP($B$15,$N$12:$N$72,$R$12:$R$72)="US","Estimated annual operating cost                               ($US)","Estimated annual operating cost                               ($CA)")</f>
        <v>Estimated annual operating cost                               ($US)</v>
      </c>
      <c r="B24" s="29">
        <f>J29*J15</f>
        <v>5566.9826858327224</v>
      </c>
      <c r="C24" s="18"/>
      <c r="D24" s="24"/>
      <c r="I24" s="79" t="s">
        <v>96</v>
      </c>
      <c r="J24" s="85">
        <f>(B9*B10*(J16-B13+(IF(B21="Outside",15,0)))*J12)+(2*(B9*B11*(J16-B13+(IF(B21="Outside",6,0)))*J14))+(2*(B10*B11*(J16-B13+2)*J14))+(B10*B9*(J17-B13)*J13)</f>
        <v>60540.480000000003</v>
      </c>
      <c r="K24" s="6">
        <v>4</v>
      </c>
      <c r="L24" s="5" t="s">
        <v>19</v>
      </c>
      <c r="M24" s="5" t="s">
        <v>20</v>
      </c>
      <c r="N24" s="83" t="s">
        <v>31</v>
      </c>
      <c r="O24" s="5">
        <v>9.2399999999999996E-2</v>
      </c>
      <c r="P24" s="5">
        <v>98</v>
      </c>
      <c r="Q24" s="6">
        <v>75</v>
      </c>
      <c r="R24" s="6" t="s">
        <v>211</v>
      </c>
      <c r="S24" s="6">
        <v>8100</v>
      </c>
      <c r="T24" s="6">
        <v>17000</v>
      </c>
      <c r="U24" s="6">
        <v>4000</v>
      </c>
    </row>
    <row r="25" spans="1:28" ht="22.5" customHeight="1" x14ac:dyDescent="0.25">
      <c r="A25" s="28" t="s">
        <v>121</v>
      </c>
      <c r="B25" s="30">
        <f>J28</f>
        <v>11034.653490253166</v>
      </c>
      <c r="C25" s="20"/>
      <c r="I25" s="79" t="s">
        <v>85</v>
      </c>
      <c r="J25" s="85">
        <f>J22*J18*(LOOKUP(B13,S33:T45))</f>
        <v>135691.20000000001</v>
      </c>
      <c r="K25" s="6">
        <v>5</v>
      </c>
      <c r="L25" s="5">
        <v>200</v>
      </c>
      <c r="M25" s="5">
        <v>88</v>
      </c>
      <c r="N25" s="83" t="s">
        <v>32</v>
      </c>
      <c r="O25" s="5">
        <v>0.2596</v>
      </c>
      <c r="P25" s="5">
        <v>85</v>
      </c>
      <c r="Q25" s="6">
        <v>80</v>
      </c>
      <c r="R25" s="6" t="s">
        <v>211</v>
      </c>
      <c r="S25" s="6">
        <v>12800</v>
      </c>
      <c r="T25" s="6">
        <v>26000</v>
      </c>
      <c r="U25" s="6">
        <v>6200</v>
      </c>
    </row>
    <row r="26" spans="1:28" ht="17.100000000000001" customHeight="1" thickBot="1" x14ac:dyDescent="0.3">
      <c r="A26" s="97" t="str">
        <f>IF(LOOKUP($B$15,$N$12:$N$72,$R$12:$R$72)="US","Estimated annual savings                                             ($US)","Estimated annual savings                                             ($CA)")</f>
        <v>Estimated annual savings                                             ($US)</v>
      </c>
      <c r="B26" s="31">
        <f>J28*J15</f>
        <v>1113.3965371665445</v>
      </c>
      <c r="I26" s="79" t="s">
        <v>87</v>
      </c>
      <c r="J26" s="85">
        <f>(2*B10*B9*82)+(0.0000625*B9*B10*B11*75000)+(B12*(IF(B13&gt;32,19200,31200)))</f>
        <v>67470</v>
      </c>
      <c r="K26" s="6">
        <v>6</v>
      </c>
      <c r="L26" s="5">
        <v>250</v>
      </c>
      <c r="M26" s="5">
        <v>76</v>
      </c>
      <c r="N26" s="83" t="s">
        <v>33</v>
      </c>
      <c r="O26" s="5">
        <v>6.93E-2</v>
      </c>
      <c r="P26" s="5">
        <v>95</v>
      </c>
      <c r="Q26" s="6">
        <v>60</v>
      </c>
      <c r="R26" s="6" t="s">
        <v>211</v>
      </c>
      <c r="S26" s="6">
        <v>16000</v>
      </c>
      <c r="T26" s="6">
        <v>33000</v>
      </c>
      <c r="U26" s="6">
        <v>7500</v>
      </c>
    </row>
    <row r="27" spans="1:28" ht="18.75" customHeight="1" x14ac:dyDescent="0.3">
      <c r="A27" s="13" t="s">
        <v>108</v>
      </c>
      <c r="B27" s="13">
        <f>(B22-B23)/B26</f>
        <v>0.31435341167011926</v>
      </c>
      <c r="C27" s="13" t="s">
        <v>101</v>
      </c>
      <c r="I27" s="87" t="s">
        <v>91</v>
      </c>
      <c r="J27" s="78">
        <f>SUM(J23:J26)</f>
        <v>278901.68000000005</v>
      </c>
      <c r="K27" s="21" t="s">
        <v>189</v>
      </c>
      <c r="L27" s="5">
        <v>300</v>
      </c>
      <c r="M27" s="5">
        <v>69</v>
      </c>
      <c r="N27" s="83" t="s">
        <v>34</v>
      </c>
      <c r="O27" s="5">
        <v>8.3100000000000007E-2</v>
      </c>
      <c r="P27" s="5">
        <v>96</v>
      </c>
      <c r="Q27" s="6">
        <v>60</v>
      </c>
      <c r="R27" s="6" t="s">
        <v>211</v>
      </c>
      <c r="S27" s="6">
        <v>20000</v>
      </c>
      <c r="T27" s="6">
        <v>40000</v>
      </c>
      <c r="U27" s="6">
        <v>9500</v>
      </c>
    </row>
    <row r="28" spans="1:28" ht="15.75" customHeight="1" x14ac:dyDescent="0.25">
      <c r="A28" s="103" t="s">
        <v>194</v>
      </c>
      <c r="B28" s="103"/>
      <c r="C28" s="103"/>
      <c r="D28" s="103"/>
      <c r="I28" s="88" t="s">
        <v>120</v>
      </c>
      <c r="J28" s="77">
        <f>IF(B14='Energy Calc Sheet #2'!T12,J29*0.2,J29*0.15)</f>
        <v>11034.653490253166</v>
      </c>
      <c r="K28" s="5" t="s">
        <v>191</v>
      </c>
      <c r="L28" s="5">
        <v>400</v>
      </c>
      <c r="M28" s="5">
        <v>59</v>
      </c>
      <c r="N28" s="83" t="s">
        <v>35</v>
      </c>
      <c r="O28" s="5">
        <v>8.1900000000000001E-2</v>
      </c>
      <c r="P28" s="5">
        <v>95</v>
      </c>
      <c r="Q28" s="6">
        <v>60</v>
      </c>
      <c r="R28" s="6" t="s">
        <v>211</v>
      </c>
      <c r="S28" s="6">
        <v>28000</v>
      </c>
      <c r="T28" s="6">
        <v>56000</v>
      </c>
      <c r="U28" s="6">
        <v>13000</v>
      </c>
    </row>
    <row r="29" spans="1:28" ht="12" customHeight="1" x14ac:dyDescent="0.25">
      <c r="A29" s="103"/>
      <c r="B29" s="103"/>
      <c r="C29" s="103"/>
      <c r="D29" s="103"/>
      <c r="E29" s="11"/>
      <c r="I29" s="87" t="s">
        <v>93</v>
      </c>
      <c r="J29" s="78">
        <f>$J$27*0.365*((LOOKUP($B$13-15,'Energy Calc Sheet #2'!R13:S28))+(IF($B$14='Energy Calc Sheet #2'!$T$12,LOOKUP($B$13-15,'Energy Calc Sheet #2'!$R$13:$R$28,'Energy Calc Sheet #2'!$T$13:$T$28),LOOKUP($B$13-15,'Energy Calc Sheet #2'!$R$13:$R$28,'Energy Calc Sheet #2'!$U$13:$U$28))))</f>
        <v>55173.267451265827</v>
      </c>
      <c r="K29" s="5" t="s">
        <v>192</v>
      </c>
      <c r="L29" s="5">
        <v>500</v>
      </c>
      <c r="M29" s="5">
        <v>52</v>
      </c>
      <c r="N29" s="83" t="s">
        <v>36</v>
      </c>
      <c r="O29" s="5">
        <v>9.1600000000000001E-2</v>
      </c>
      <c r="P29" s="5">
        <v>95</v>
      </c>
      <c r="Q29" s="6">
        <v>60</v>
      </c>
      <c r="R29" s="6" t="s">
        <v>211</v>
      </c>
      <c r="S29" s="6">
        <v>40000</v>
      </c>
      <c r="T29" s="6">
        <v>66000</v>
      </c>
      <c r="U29" s="6">
        <v>17000</v>
      </c>
      <c r="X29" s="14"/>
    </row>
    <row r="30" spans="1:28" x14ac:dyDescent="0.25">
      <c r="A30" s="103"/>
      <c r="B30" s="103"/>
      <c r="C30" s="103"/>
      <c r="D30" s="103"/>
      <c r="E30" s="12"/>
      <c r="J30" s="79">
        <f>J29/(J27*365)</f>
        <v>5.4198180825867763E-4</v>
      </c>
      <c r="L30" s="5">
        <v>600</v>
      </c>
      <c r="M30" s="5">
        <v>46</v>
      </c>
      <c r="N30" s="83" t="s">
        <v>37</v>
      </c>
      <c r="O30" s="5">
        <v>8.6999999999999994E-2</v>
      </c>
      <c r="P30" s="5">
        <v>100</v>
      </c>
      <c r="Q30" s="6">
        <v>60</v>
      </c>
      <c r="R30" s="6" t="s">
        <v>211</v>
      </c>
      <c r="S30" s="6">
        <v>60000</v>
      </c>
      <c r="T30" s="6">
        <v>110000</v>
      </c>
      <c r="U30" s="6">
        <v>25000</v>
      </c>
      <c r="X30" s="15"/>
    </row>
    <row r="31" spans="1:28" x14ac:dyDescent="0.25">
      <c r="A31" s="53"/>
      <c r="B31" s="53"/>
      <c r="C31" s="81"/>
      <c r="D31" s="81"/>
      <c r="I31" s="77"/>
      <c r="J31" s="78"/>
      <c r="L31" s="5">
        <v>800</v>
      </c>
      <c r="M31" s="5">
        <v>40</v>
      </c>
      <c r="N31" s="83" t="s">
        <v>38</v>
      </c>
      <c r="O31" s="5">
        <v>7.8100000000000003E-2</v>
      </c>
      <c r="P31" s="5">
        <v>95</v>
      </c>
      <c r="Q31" s="6">
        <v>65</v>
      </c>
      <c r="R31" s="6" t="s">
        <v>211</v>
      </c>
      <c r="S31" s="6">
        <v>80000</v>
      </c>
      <c r="T31" s="6">
        <v>150000</v>
      </c>
      <c r="U31" s="6">
        <v>34000</v>
      </c>
      <c r="X31" s="15"/>
      <c r="Y31" s="15"/>
      <c r="Z31" s="15"/>
      <c r="AA31" s="15"/>
      <c r="AB31" s="15"/>
    </row>
    <row r="32" spans="1:28" x14ac:dyDescent="0.25">
      <c r="C32" s="81"/>
      <c r="D32" s="81"/>
      <c r="E32" s="81"/>
      <c r="L32" s="5">
        <v>1000</v>
      </c>
      <c r="M32" s="5">
        <v>35</v>
      </c>
      <c r="N32" s="83" t="s">
        <v>39</v>
      </c>
      <c r="O32" s="5">
        <v>8.4900000000000003E-2</v>
      </c>
      <c r="P32" s="5">
        <v>100</v>
      </c>
      <c r="Q32" s="6">
        <v>75</v>
      </c>
      <c r="R32" s="6" t="s">
        <v>211</v>
      </c>
      <c r="S32" s="89" t="s">
        <v>114</v>
      </c>
      <c r="T32" s="89"/>
      <c r="U32" s="21"/>
      <c r="V32" s="14"/>
      <c r="W32" s="14"/>
    </row>
    <row r="33" spans="3:23" x14ac:dyDescent="0.25">
      <c r="C33" s="53"/>
      <c r="D33" s="53"/>
      <c r="E33" s="81"/>
      <c r="L33" s="5">
        <v>1500</v>
      </c>
      <c r="M33" s="5">
        <v>28</v>
      </c>
      <c r="N33" s="83" t="s">
        <v>40</v>
      </c>
      <c r="O33" s="5">
        <v>0.12179999999999999</v>
      </c>
      <c r="P33" s="5">
        <v>90</v>
      </c>
      <c r="Q33" s="6">
        <v>60</v>
      </c>
      <c r="R33" s="6" t="s">
        <v>211</v>
      </c>
      <c r="S33" s="6">
        <v>-25</v>
      </c>
      <c r="T33" s="6">
        <v>3.84</v>
      </c>
      <c r="U33" s="14"/>
      <c r="V33" s="15"/>
      <c r="W33" s="15"/>
    </row>
    <row r="34" spans="3:23" x14ac:dyDescent="0.25">
      <c r="C34" s="16"/>
      <c r="E34" s="81"/>
      <c r="L34" s="5">
        <v>2000</v>
      </c>
      <c r="M34" s="5">
        <v>24</v>
      </c>
      <c r="N34" s="83" t="s">
        <v>203</v>
      </c>
      <c r="O34" s="5">
        <v>0.08</v>
      </c>
      <c r="P34" s="5">
        <v>95</v>
      </c>
      <c r="Q34" s="6">
        <v>50</v>
      </c>
      <c r="R34" s="6" t="s">
        <v>212</v>
      </c>
      <c r="S34" s="6">
        <v>-20</v>
      </c>
      <c r="T34" s="6">
        <v>3.72</v>
      </c>
      <c r="U34" s="90"/>
      <c r="V34" s="15"/>
      <c r="W34" s="15"/>
    </row>
    <row r="35" spans="3:23" x14ac:dyDescent="0.25">
      <c r="L35" s="5">
        <v>3000</v>
      </c>
      <c r="M35" s="5">
        <v>19</v>
      </c>
      <c r="N35" s="83" t="s">
        <v>41</v>
      </c>
      <c r="O35" s="5">
        <v>0.11900000000000001</v>
      </c>
      <c r="P35" s="5">
        <v>95</v>
      </c>
      <c r="Q35" s="6">
        <v>65</v>
      </c>
      <c r="R35" s="6" t="s">
        <v>211</v>
      </c>
      <c r="S35" s="6">
        <v>-15</v>
      </c>
      <c r="T35" s="6">
        <v>3.6</v>
      </c>
      <c r="U35" s="90"/>
      <c r="W35" s="91"/>
    </row>
    <row r="36" spans="3:23" x14ac:dyDescent="0.25">
      <c r="L36" s="5">
        <v>4000</v>
      </c>
      <c r="M36" s="5">
        <v>16.399999999999999</v>
      </c>
      <c r="N36" s="83" t="s">
        <v>42</v>
      </c>
      <c r="O36" s="5">
        <v>0.1492</v>
      </c>
      <c r="P36" s="5">
        <v>93</v>
      </c>
      <c r="Q36" s="6">
        <v>65</v>
      </c>
      <c r="R36" s="6" t="s">
        <v>211</v>
      </c>
      <c r="S36" s="6">
        <v>-10</v>
      </c>
      <c r="T36" s="6">
        <v>3.49</v>
      </c>
      <c r="U36" s="92"/>
      <c r="W36" s="91"/>
    </row>
    <row r="37" spans="3:23" ht="15" customHeight="1" x14ac:dyDescent="0.25">
      <c r="L37" s="5">
        <v>5000</v>
      </c>
      <c r="M37" s="5">
        <v>14.4</v>
      </c>
      <c r="N37" s="83" t="s">
        <v>43</v>
      </c>
      <c r="O37" s="5">
        <v>0.1016</v>
      </c>
      <c r="P37" s="5">
        <v>95</v>
      </c>
      <c r="Q37" s="6">
        <v>60</v>
      </c>
      <c r="R37" s="6" t="s">
        <v>211</v>
      </c>
      <c r="S37" s="6">
        <v>-5</v>
      </c>
      <c r="T37" s="6">
        <v>3.36</v>
      </c>
      <c r="U37" s="92"/>
      <c r="W37" s="91"/>
    </row>
    <row r="38" spans="3:23" x14ac:dyDescent="0.25">
      <c r="L38" s="5">
        <v>6000</v>
      </c>
      <c r="M38" s="5">
        <v>13</v>
      </c>
      <c r="N38" s="83" t="s">
        <v>44</v>
      </c>
      <c r="O38" s="5">
        <v>9.0399999999999994E-2</v>
      </c>
      <c r="P38" s="5">
        <v>92</v>
      </c>
      <c r="Q38" s="6">
        <v>60</v>
      </c>
      <c r="R38" s="6" t="s">
        <v>211</v>
      </c>
      <c r="S38" s="6">
        <v>0</v>
      </c>
      <c r="T38" s="6">
        <v>3.23</v>
      </c>
      <c r="U38" s="92"/>
    </row>
    <row r="39" spans="3:23" x14ac:dyDescent="0.25">
      <c r="L39" s="5">
        <v>8000</v>
      </c>
      <c r="M39" s="5">
        <v>11</v>
      </c>
      <c r="N39" s="83" t="s">
        <v>45</v>
      </c>
      <c r="O39" s="5">
        <v>9.4100000000000003E-2</v>
      </c>
      <c r="P39" s="5">
        <v>95</v>
      </c>
      <c r="Q39" s="6">
        <v>75</v>
      </c>
      <c r="R39" s="6" t="s">
        <v>211</v>
      </c>
      <c r="S39" s="6">
        <v>5</v>
      </c>
      <c r="T39" s="6">
        <v>3.07</v>
      </c>
      <c r="U39" s="92"/>
    </row>
    <row r="40" spans="3:23" x14ac:dyDescent="0.25">
      <c r="L40" s="5">
        <v>10000</v>
      </c>
      <c r="M40" s="5">
        <v>9.8000000000000007</v>
      </c>
      <c r="N40" s="83" t="s">
        <v>46</v>
      </c>
      <c r="O40" s="5">
        <v>8.8499999999999995E-2</v>
      </c>
      <c r="P40" s="5">
        <v>100</v>
      </c>
      <c r="Q40" s="6">
        <v>60</v>
      </c>
      <c r="R40" s="6" t="s">
        <v>211</v>
      </c>
      <c r="S40" s="6">
        <v>10</v>
      </c>
      <c r="T40" s="6">
        <v>2.87</v>
      </c>
      <c r="U40" s="92"/>
    </row>
    <row r="41" spans="3:23" x14ac:dyDescent="0.25">
      <c r="L41" s="5">
        <v>15000</v>
      </c>
      <c r="M41" s="5">
        <v>7.8</v>
      </c>
      <c r="N41" s="83" t="s">
        <v>47</v>
      </c>
      <c r="O41" s="5">
        <v>8.5500000000000007E-2</v>
      </c>
      <c r="P41" s="5">
        <v>95</v>
      </c>
      <c r="Q41" s="6">
        <v>55</v>
      </c>
      <c r="R41" s="6" t="s">
        <v>211</v>
      </c>
      <c r="S41" s="6">
        <v>15</v>
      </c>
      <c r="T41" s="6">
        <v>2.74</v>
      </c>
      <c r="U41" s="92"/>
    </row>
    <row r="42" spans="3:23" x14ac:dyDescent="0.25">
      <c r="L42" s="5">
        <v>20000</v>
      </c>
      <c r="M42" s="5">
        <v>7</v>
      </c>
      <c r="N42" s="83" t="s">
        <v>48</v>
      </c>
      <c r="O42" s="5">
        <v>8.2899999999999988E-2</v>
      </c>
      <c r="P42" s="5">
        <v>95</v>
      </c>
      <c r="Q42" s="6">
        <v>60</v>
      </c>
      <c r="R42" s="6" t="s">
        <v>211</v>
      </c>
      <c r="S42" s="6">
        <v>20</v>
      </c>
      <c r="T42" s="6">
        <v>2.61</v>
      </c>
      <c r="U42" s="92"/>
    </row>
    <row r="43" spans="3:23" x14ac:dyDescent="0.25">
      <c r="L43" s="5">
        <v>25000</v>
      </c>
      <c r="M43" s="5">
        <v>6</v>
      </c>
      <c r="N43" s="83" t="s">
        <v>49</v>
      </c>
      <c r="O43" s="5">
        <v>9.4899999999999998E-2</v>
      </c>
      <c r="P43" s="5">
        <v>95</v>
      </c>
      <c r="Q43" s="6">
        <v>65</v>
      </c>
      <c r="R43" s="6" t="s">
        <v>211</v>
      </c>
      <c r="S43" s="6">
        <v>25</v>
      </c>
      <c r="T43" s="6">
        <v>2.42</v>
      </c>
      <c r="U43" s="92"/>
    </row>
    <row r="44" spans="3:23" x14ac:dyDescent="0.25">
      <c r="L44" s="5">
        <v>30000</v>
      </c>
      <c r="M44" s="5">
        <v>5.4</v>
      </c>
      <c r="N44" s="83" t="s">
        <v>207</v>
      </c>
      <c r="O44" s="5">
        <v>0.12</v>
      </c>
      <c r="P44" s="5">
        <v>90</v>
      </c>
      <c r="Q44" s="6">
        <v>60</v>
      </c>
      <c r="R44" s="6" t="s">
        <v>212</v>
      </c>
      <c r="S44" s="6">
        <v>30</v>
      </c>
      <c r="T44" s="6">
        <v>2.2400000000000002</v>
      </c>
      <c r="U44" s="92"/>
    </row>
    <row r="45" spans="3:23" x14ac:dyDescent="0.25">
      <c r="L45" s="5">
        <v>40000</v>
      </c>
      <c r="M45" s="5">
        <v>4.5999999999999996</v>
      </c>
      <c r="N45" s="83" t="s">
        <v>50</v>
      </c>
      <c r="O45" s="5">
        <v>0.14130000000000001</v>
      </c>
      <c r="P45" s="5">
        <v>90</v>
      </c>
      <c r="Q45" s="6">
        <v>55</v>
      </c>
      <c r="R45" s="6" t="s">
        <v>211</v>
      </c>
      <c r="S45" s="6">
        <v>35</v>
      </c>
      <c r="T45" s="6">
        <v>2.09</v>
      </c>
      <c r="U45" s="92"/>
    </row>
    <row r="46" spans="3:23" x14ac:dyDescent="0.25">
      <c r="L46" s="5">
        <v>50000</v>
      </c>
      <c r="M46" s="5">
        <v>4</v>
      </c>
      <c r="N46" s="83" t="s">
        <v>51</v>
      </c>
      <c r="O46" s="5">
        <v>0.1517</v>
      </c>
      <c r="P46" s="5">
        <v>95</v>
      </c>
      <c r="Q46" s="6">
        <v>65</v>
      </c>
      <c r="R46" s="6" t="s">
        <v>211</v>
      </c>
      <c r="S46" s="93"/>
    </row>
    <row r="47" spans="3:23" x14ac:dyDescent="0.25">
      <c r="L47" s="5">
        <v>75000</v>
      </c>
      <c r="M47" s="5">
        <v>3.2</v>
      </c>
      <c r="N47" s="83" t="s">
        <v>52</v>
      </c>
      <c r="O47" s="5">
        <v>9.4800000000000009E-2</v>
      </c>
      <c r="P47" s="5">
        <v>90</v>
      </c>
      <c r="Q47" s="6">
        <v>65</v>
      </c>
      <c r="R47" s="6" t="s">
        <v>211</v>
      </c>
      <c r="S47" s="6"/>
    </row>
    <row r="48" spans="3:23" x14ac:dyDescent="0.25">
      <c r="L48" s="5">
        <v>100000</v>
      </c>
      <c r="M48" s="5">
        <v>2.8</v>
      </c>
      <c r="N48" s="83" t="s">
        <v>53</v>
      </c>
      <c r="O48" s="5">
        <v>0.17879999999999999</v>
      </c>
      <c r="P48" s="5">
        <v>95</v>
      </c>
      <c r="Q48" s="6">
        <v>65</v>
      </c>
      <c r="R48" s="6" t="s">
        <v>211</v>
      </c>
      <c r="S48" s="5"/>
    </row>
    <row r="49" spans="12:19" x14ac:dyDescent="0.25">
      <c r="L49" s="5">
        <v>150000</v>
      </c>
      <c r="M49" s="5">
        <v>2.4</v>
      </c>
      <c r="N49" s="83" t="s">
        <v>209</v>
      </c>
      <c r="O49" s="5">
        <v>0.12</v>
      </c>
      <c r="P49" s="5">
        <v>93</v>
      </c>
      <c r="Q49" s="6">
        <v>65</v>
      </c>
      <c r="R49" s="6" t="s">
        <v>212</v>
      </c>
      <c r="S49" s="5"/>
    </row>
    <row r="50" spans="12:19" x14ac:dyDescent="0.25">
      <c r="L50" s="5">
        <v>200000</v>
      </c>
      <c r="M50" s="5">
        <v>2.2000000000000002</v>
      </c>
      <c r="N50" s="83" t="s">
        <v>54</v>
      </c>
      <c r="O50" s="5">
        <v>8.4100000000000008E-2</v>
      </c>
      <c r="P50" s="5">
        <v>95</v>
      </c>
      <c r="Q50" s="6">
        <v>70</v>
      </c>
      <c r="R50" s="6" t="s">
        <v>211</v>
      </c>
      <c r="S50" s="5"/>
    </row>
    <row r="51" spans="12:19" x14ac:dyDescent="0.25">
      <c r="L51" s="5">
        <v>300000</v>
      </c>
      <c r="M51" s="5">
        <v>2</v>
      </c>
      <c r="N51" s="83" t="s">
        <v>55</v>
      </c>
      <c r="O51" s="5">
        <v>7.7199999999999991E-2</v>
      </c>
      <c r="P51" s="5">
        <v>95</v>
      </c>
      <c r="Q51" s="6">
        <v>50</v>
      </c>
      <c r="R51" s="6" t="s">
        <v>211</v>
      </c>
      <c r="S51" s="5"/>
    </row>
    <row r="52" spans="12:19" x14ac:dyDescent="0.25">
      <c r="L52" s="99" t="s">
        <v>115</v>
      </c>
      <c r="M52" s="99"/>
      <c r="N52" s="83" t="s">
        <v>206</v>
      </c>
      <c r="O52" s="5">
        <v>0.13</v>
      </c>
      <c r="P52" s="5">
        <v>90</v>
      </c>
      <c r="Q52" s="6">
        <v>60</v>
      </c>
      <c r="R52" s="6" t="s">
        <v>212</v>
      </c>
      <c r="S52" s="5"/>
    </row>
    <row r="53" spans="12:19" x14ac:dyDescent="0.25">
      <c r="L53" s="5" t="s">
        <v>19</v>
      </c>
      <c r="M53" s="5" t="s">
        <v>20</v>
      </c>
      <c r="N53" s="83" t="s">
        <v>56</v>
      </c>
      <c r="O53" s="5">
        <v>9.5000000000000001E-2</v>
      </c>
      <c r="P53" s="5">
        <v>95</v>
      </c>
      <c r="Q53" s="6">
        <v>65</v>
      </c>
      <c r="R53" s="6" t="s">
        <v>211</v>
      </c>
      <c r="S53" s="5"/>
    </row>
    <row r="54" spans="12:19" x14ac:dyDescent="0.25">
      <c r="L54" s="5">
        <v>200</v>
      </c>
      <c r="M54" s="5">
        <v>67</v>
      </c>
      <c r="N54" s="83" t="s">
        <v>57</v>
      </c>
      <c r="O54" s="5">
        <v>8.2899999999999988E-2</v>
      </c>
      <c r="P54" s="5">
        <v>101</v>
      </c>
      <c r="Q54" s="6">
        <v>65</v>
      </c>
      <c r="R54" s="6" t="s">
        <v>211</v>
      </c>
      <c r="S54" s="5"/>
    </row>
    <row r="55" spans="12:19" x14ac:dyDescent="0.25">
      <c r="L55" s="5">
        <v>250</v>
      </c>
      <c r="M55" s="5">
        <v>58</v>
      </c>
      <c r="N55" s="83" t="s">
        <v>204</v>
      </c>
      <c r="O55" s="5">
        <v>0.12</v>
      </c>
      <c r="P55" s="5">
        <v>95</v>
      </c>
      <c r="Q55" s="6">
        <v>60</v>
      </c>
      <c r="R55" s="6" t="s">
        <v>212</v>
      </c>
      <c r="S55" s="5"/>
    </row>
    <row r="56" spans="12:19" x14ac:dyDescent="0.25">
      <c r="L56" s="5">
        <v>300</v>
      </c>
      <c r="M56" s="5">
        <v>52.4</v>
      </c>
      <c r="N56" s="83" t="s">
        <v>58</v>
      </c>
      <c r="O56" s="5">
        <v>7.7800000000000008E-2</v>
      </c>
      <c r="P56" s="5">
        <v>90</v>
      </c>
      <c r="Q56" s="6">
        <v>70</v>
      </c>
      <c r="R56" s="6" t="s">
        <v>211</v>
      </c>
      <c r="S56" s="5"/>
    </row>
    <row r="57" spans="12:19" x14ac:dyDescent="0.25">
      <c r="L57" s="5">
        <v>400</v>
      </c>
      <c r="M57" s="5">
        <v>45</v>
      </c>
      <c r="N57" s="83" t="s">
        <v>59</v>
      </c>
      <c r="O57" s="5">
        <v>0.1032</v>
      </c>
      <c r="P57" s="5">
        <v>95</v>
      </c>
      <c r="Q57" s="6">
        <v>65</v>
      </c>
      <c r="R57" s="6" t="s">
        <v>211</v>
      </c>
      <c r="S57" s="5"/>
    </row>
    <row r="58" spans="12:19" x14ac:dyDescent="0.25">
      <c r="L58" s="5">
        <v>500</v>
      </c>
      <c r="M58" s="5">
        <v>40</v>
      </c>
      <c r="N58" s="83" t="s">
        <v>208</v>
      </c>
      <c r="O58" s="5">
        <v>0.16</v>
      </c>
      <c r="P58" s="5">
        <v>93</v>
      </c>
      <c r="Q58" s="6">
        <v>65</v>
      </c>
      <c r="R58" s="6" t="s">
        <v>212</v>
      </c>
      <c r="S58" s="5"/>
    </row>
    <row r="59" spans="12:19" x14ac:dyDescent="0.25">
      <c r="L59" s="5">
        <v>600</v>
      </c>
      <c r="M59" s="5">
        <v>36</v>
      </c>
      <c r="N59" s="83" t="s">
        <v>205</v>
      </c>
      <c r="O59" s="5">
        <v>0.09</v>
      </c>
      <c r="P59" s="5">
        <v>95</v>
      </c>
      <c r="Q59" s="6">
        <v>65</v>
      </c>
      <c r="R59" s="6" t="s">
        <v>212</v>
      </c>
      <c r="S59" s="5"/>
    </row>
    <row r="60" spans="12:19" x14ac:dyDescent="0.25">
      <c r="L60" s="5">
        <v>800</v>
      </c>
      <c r="M60" s="5">
        <v>30.6</v>
      </c>
      <c r="N60" s="83" t="s">
        <v>60</v>
      </c>
      <c r="O60" s="5">
        <v>0.11539999999999999</v>
      </c>
      <c r="P60" s="5">
        <v>93</v>
      </c>
      <c r="Q60" s="6">
        <v>65</v>
      </c>
      <c r="R60" s="6" t="s">
        <v>211</v>
      </c>
      <c r="S60" s="5"/>
    </row>
    <row r="61" spans="12:19" x14ac:dyDescent="0.25">
      <c r="L61" s="5">
        <v>1000</v>
      </c>
      <c r="M61" s="5">
        <v>27</v>
      </c>
      <c r="N61" s="83" t="s">
        <v>202</v>
      </c>
      <c r="O61" s="5">
        <v>0.1</v>
      </c>
      <c r="P61" s="5">
        <v>95</v>
      </c>
      <c r="Q61" s="6">
        <v>50</v>
      </c>
      <c r="R61" s="6" t="s">
        <v>212</v>
      </c>
      <c r="S61" s="5"/>
    </row>
    <row r="62" spans="12:19" x14ac:dyDescent="0.25">
      <c r="L62" s="5">
        <v>1500</v>
      </c>
      <c r="M62" s="5">
        <v>22</v>
      </c>
      <c r="N62" s="83" t="s">
        <v>61</v>
      </c>
      <c r="O62" s="5">
        <v>9.0500000000000011E-2</v>
      </c>
      <c r="P62" s="5">
        <v>95</v>
      </c>
      <c r="Q62" s="6">
        <v>75</v>
      </c>
      <c r="R62" s="6" t="s">
        <v>211</v>
      </c>
    </row>
    <row r="63" spans="12:19" x14ac:dyDescent="0.25">
      <c r="L63" s="5">
        <v>2000</v>
      </c>
      <c r="M63" s="5">
        <v>18.600000000000001</v>
      </c>
      <c r="N63" s="83" t="s">
        <v>62</v>
      </c>
      <c r="O63" s="5">
        <v>8.0100000000000005E-2</v>
      </c>
      <c r="P63" s="5">
        <v>95</v>
      </c>
      <c r="Q63" s="6">
        <v>55</v>
      </c>
      <c r="R63" s="6" t="s">
        <v>211</v>
      </c>
    </row>
    <row r="64" spans="12:19" x14ac:dyDescent="0.25">
      <c r="L64" s="5">
        <v>3000</v>
      </c>
      <c r="M64" s="5">
        <v>14.8</v>
      </c>
      <c r="N64" s="83" t="s">
        <v>63</v>
      </c>
      <c r="O64" s="5">
        <v>9.7200000000000009E-2</v>
      </c>
      <c r="P64" s="5">
        <v>95</v>
      </c>
      <c r="Q64" s="6">
        <v>70</v>
      </c>
      <c r="R64" s="6" t="s">
        <v>211</v>
      </c>
    </row>
    <row r="65" spans="12:18" x14ac:dyDescent="0.25">
      <c r="L65" s="5">
        <v>4000</v>
      </c>
      <c r="M65" s="5">
        <v>12.6</v>
      </c>
      <c r="N65" s="83" t="s">
        <v>64</v>
      </c>
      <c r="O65" s="5">
        <v>9.1600000000000001E-2</v>
      </c>
      <c r="P65" s="5">
        <v>100</v>
      </c>
      <c r="Q65" s="6">
        <v>75</v>
      </c>
      <c r="R65" s="6" t="s">
        <v>211</v>
      </c>
    </row>
    <row r="66" spans="12:18" x14ac:dyDescent="0.25">
      <c r="L66" s="5">
        <v>5000</v>
      </c>
      <c r="M66" s="5">
        <v>11.2</v>
      </c>
      <c r="N66" s="83" t="s">
        <v>65</v>
      </c>
      <c r="O66" s="5">
        <v>7.5600000000000001E-2</v>
      </c>
      <c r="P66" s="5">
        <v>95</v>
      </c>
      <c r="Q66" s="6">
        <v>60</v>
      </c>
      <c r="R66" s="6" t="s">
        <v>211</v>
      </c>
    </row>
    <row r="67" spans="12:18" x14ac:dyDescent="0.25">
      <c r="L67" s="5">
        <v>6000</v>
      </c>
      <c r="M67" s="5">
        <v>10</v>
      </c>
      <c r="N67" s="83" t="s">
        <v>66</v>
      </c>
      <c r="O67" s="5">
        <v>0.1321</v>
      </c>
      <c r="P67" s="5">
        <v>90</v>
      </c>
      <c r="Q67" s="6">
        <v>60</v>
      </c>
      <c r="R67" s="6" t="s">
        <v>211</v>
      </c>
    </row>
    <row r="68" spans="12:18" x14ac:dyDescent="0.25">
      <c r="L68" s="5">
        <v>8000</v>
      </c>
      <c r="M68" s="5">
        <v>8.6</v>
      </c>
      <c r="N68" s="83" t="s">
        <v>67</v>
      </c>
      <c r="O68" s="5">
        <v>7.6999999999999999E-2</v>
      </c>
      <c r="P68" s="5">
        <v>95</v>
      </c>
      <c r="Q68" s="6">
        <v>70</v>
      </c>
      <c r="R68" s="6" t="s">
        <v>211</v>
      </c>
    </row>
    <row r="69" spans="12:18" x14ac:dyDescent="0.25">
      <c r="L69" s="5">
        <v>10000</v>
      </c>
      <c r="M69" s="5">
        <v>7.6</v>
      </c>
      <c r="N69" s="83" t="s">
        <v>68</v>
      </c>
      <c r="O69" s="5">
        <v>7.3399999999999993E-2</v>
      </c>
      <c r="P69" s="5">
        <v>93</v>
      </c>
      <c r="Q69" s="6">
        <v>70</v>
      </c>
      <c r="R69" s="6" t="s">
        <v>211</v>
      </c>
    </row>
    <row r="70" spans="12:18" x14ac:dyDescent="0.25">
      <c r="L70" s="5">
        <v>15000</v>
      </c>
      <c r="M70" s="5">
        <v>6</v>
      </c>
      <c r="N70" s="83" t="s">
        <v>69</v>
      </c>
      <c r="O70" s="5">
        <v>7.5199999999999989E-2</v>
      </c>
      <c r="P70" s="5">
        <v>95</v>
      </c>
      <c r="Q70" s="6">
        <v>65</v>
      </c>
      <c r="R70" s="6" t="s">
        <v>211</v>
      </c>
    </row>
    <row r="71" spans="12:18" x14ac:dyDescent="0.25">
      <c r="L71" s="5">
        <v>20000</v>
      </c>
      <c r="M71" s="5">
        <v>5.2</v>
      </c>
      <c r="N71" s="83" t="s">
        <v>70</v>
      </c>
      <c r="O71" s="5">
        <v>0.10220000000000001</v>
      </c>
      <c r="P71" s="5">
        <v>95</v>
      </c>
      <c r="Q71" s="6">
        <v>55</v>
      </c>
      <c r="R71" s="6" t="s">
        <v>211</v>
      </c>
    </row>
    <row r="72" spans="12:18" x14ac:dyDescent="0.25">
      <c r="L72" s="5">
        <v>25000</v>
      </c>
      <c r="M72" s="5">
        <v>4.5999999999999996</v>
      </c>
      <c r="N72" s="83" t="s">
        <v>71</v>
      </c>
      <c r="O72" s="5">
        <v>7.6299999999999993E-2</v>
      </c>
      <c r="P72" s="5">
        <v>95</v>
      </c>
      <c r="Q72" s="6">
        <v>55</v>
      </c>
      <c r="R72" s="6" t="s">
        <v>211</v>
      </c>
    </row>
    <row r="73" spans="12:18" x14ac:dyDescent="0.25">
      <c r="L73" s="5">
        <v>30000</v>
      </c>
      <c r="M73" s="5">
        <v>4.2</v>
      </c>
    </row>
    <row r="74" spans="12:18" x14ac:dyDescent="0.25">
      <c r="L74" s="5">
        <v>40000</v>
      </c>
      <c r="M74" s="5">
        <v>3.6</v>
      </c>
    </row>
    <row r="75" spans="12:18" x14ac:dyDescent="0.25">
      <c r="L75" s="5">
        <v>50000</v>
      </c>
      <c r="M75" s="5">
        <v>3.2</v>
      </c>
    </row>
    <row r="76" spans="12:18" x14ac:dyDescent="0.25">
      <c r="L76" s="5">
        <v>75000</v>
      </c>
      <c r="M76" s="5">
        <v>2.6</v>
      </c>
    </row>
    <row r="77" spans="12:18" x14ac:dyDescent="0.25">
      <c r="L77" s="5">
        <v>100000</v>
      </c>
      <c r="M77" s="5">
        <v>2.2000000000000002</v>
      </c>
    </row>
    <row r="78" spans="12:18" x14ac:dyDescent="0.25">
      <c r="L78" s="5">
        <v>150000</v>
      </c>
      <c r="M78" s="5">
        <v>2</v>
      </c>
    </row>
    <row r="79" spans="12:18" x14ac:dyDescent="0.25">
      <c r="L79" s="5">
        <v>200000</v>
      </c>
      <c r="M79" s="5">
        <v>1.8</v>
      </c>
    </row>
    <row r="80" spans="12:18" x14ac:dyDescent="0.25">
      <c r="L80" s="5">
        <v>300000</v>
      </c>
      <c r="M80" s="5">
        <v>1.7</v>
      </c>
    </row>
  </sheetData>
  <sheetProtection algorithmName="SHA-512" hashValue="OWbzoqYdQta1kdCM29yzuFmi7ZXwTMIM0n9TUcZICtIJdLH4wp9PbMXTmSuLop5BqxouICrovUgcgHTDdHYwkg==" saltValue="igobohF5nl/zCseR8XSM2w==" spinCount="100000" sheet="1" objects="1" scenarios="1" selectLockedCells="1"/>
  <sortState ref="N12:Q72">
    <sortCondition ref="N12:N72"/>
  </sortState>
  <mergeCells count="15">
    <mergeCell ref="W10:W11"/>
    <mergeCell ref="L52:M52"/>
    <mergeCell ref="B2:D4"/>
    <mergeCell ref="L11:M11"/>
    <mergeCell ref="L23:M23"/>
    <mergeCell ref="S18:U18"/>
    <mergeCell ref="T10:T11"/>
    <mergeCell ref="S10:S11"/>
    <mergeCell ref="U10:U11"/>
    <mergeCell ref="K19:K20"/>
    <mergeCell ref="D13:D15"/>
    <mergeCell ref="A28:D30"/>
    <mergeCell ref="B6:E6"/>
    <mergeCell ref="B7:E7"/>
    <mergeCell ref="B8:E8"/>
  </mergeCells>
  <dataValidations count="12">
    <dataValidation type="whole" allowBlank="1" showInputMessage="1" showErrorMessage="1" error="Must be between the temperature of the Walk-In and 85F" sqref="B20">
      <formula1>B13</formula1>
      <formula2>85</formula2>
    </dataValidation>
    <dataValidation type="list" allowBlank="1" showInputMessage="1" showErrorMessage="1" sqref="B21">
      <formula1>$K$17:$K$18</formula1>
    </dataValidation>
    <dataValidation allowBlank="1" showInputMessage="1" showErrorMessage="1" error="Must be between $50 and $150" sqref="B22:B23"/>
    <dataValidation type="list" allowBlank="1" showInputMessage="1" showErrorMessage="1" sqref="B16">
      <formula1>$L$13:$L$21</formula1>
    </dataValidation>
    <dataValidation type="list" allowBlank="1" showInputMessage="1" showErrorMessage="1" sqref="B17:B18">
      <formula1>$L$13:$L$20</formula1>
    </dataValidation>
    <dataValidation type="list" allowBlank="1" showInputMessage="1" showErrorMessage="1" sqref="B15">
      <formula1>$N$12:$N$72</formula1>
    </dataValidation>
    <dataValidation type="list" allowBlank="1" showInputMessage="1" showErrorMessage="1" sqref="B19">
      <formula1>$S$12:$S$17</formula1>
    </dataValidation>
    <dataValidation type="whole" showInputMessage="1" showErrorMessage="1" error="Must be between 6 and 40 ft." sqref="B11">
      <formula1>6</formula1>
      <formula2>40</formula2>
    </dataValidation>
    <dataValidation type="whole" allowBlank="1" showInputMessage="1" showErrorMessage="1" error="Must be between 6 and 40 ft" sqref="B9:B10">
      <formula1>6</formula1>
      <formula2>40</formula2>
    </dataValidation>
    <dataValidation type="whole" allowBlank="1" showInputMessage="1" showErrorMessage="1" error="Must be between 0 and 20 doors" sqref="B12">
      <formula1>0</formula1>
      <formula2>20</formula2>
    </dataValidation>
    <dataValidation type="whole" allowBlank="1" showInputMessage="1" showErrorMessage="1" error="Must be between -20F and +40F" sqref="B13">
      <formula1>-20</formula1>
      <formula2>40</formula2>
    </dataValidation>
    <dataValidation type="list" allowBlank="1" showInputMessage="1" showErrorMessage="1" error="Must be between -20F and +35F" sqref="B14">
      <formula1>$K$28:$K$29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58"/>
  <sheetViews>
    <sheetView workbookViewId="0">
      <selection activeCell="H23" sqref="H23"/>
    </sheetView>
  </sheetViews>
  <sheetFormatPr defaultRowHeight="15" x14ac:dyDescent="0.25"/>
  <cols>
    <col min="2" max="2" width="14.42578125" customWidth="1"/>
    <col min="3" max="3" width="12" customWidth="1"/>
    <col min="4" max="4" width="12.7109375" customWidth="1"/>
    <col min="5" max="5" width="12.28515625" customWidth="1"/>
    <col min="6" max="6" width="16.140625" customWidth="1"/>
    <col min="7" max="7" width="13.140625" customWidth="1"/>
    <col min="20" max="20" width="11.140625" customWidth="1"/>
    <col min="21" max="34" width="10.5703125" customWidth="1"/>
  </cols>
  <sheetData>
    <row r="1" spans="2:34" x14ac:dyDescent="0.25">
      <c r="J1" s="1"/>
    </row>
    <row r="2" spans="2:34" x14ac:dyDescent="0.25">
      <c r="B2" t="s">
        <v>122</v>
      </c>
    </row>
    <row r="3" spans="2:34" ht="15.75" thickBot="1" x14ac:dyDescent="0.3">
      <c r="C3" t="s">
        <v>123</v>
      </c>
    </row>
    <row r="4" spans="2:34" ht="15" customHeight="1" x14ac:dyDescent="0.25">
      <c r="E4" s="106" t="s">
        <v>131</v>
      </c>
      <c r="F4" s="106" t="s">
        <v>125</v>
      </c>
      <c r="G4" s="107" t="s">
        <v>143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7" t="s">
        <v>176</v>
      </c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9"/>
    </row>
    <row r="5" spans="2:34" ht="17.25" customHeight="1" x14ac:dyDescent="0.25">
      <c r="E5" s="106"/>
      <c r="F5" s="106"/>
      <c r="G5" s="110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0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2"/>
    </row>
    <row r="6" spans="2:34" ht="30.75" customHeight="1" x14ac:dyDescent="0.25">
      <c r="D6" s="33" t="s">
        <v>126</v>
      </c>
      <c r="E6" s="34" t="s">
        <v>127</v>
      </c>
      <c r="F6" s="72" t="s">
        <v>127</v>
      </c>
      <c r="G6" s="73">
        <v>-30</v>
      </c>
      <c r="H6" s="35">
        <v>-25</v>
      </c>
      <c r="I6" s="35">
        <v>-20</v>
      </c>
      <c r="J6" s="35">
        <v>-15</v>
      </c>
      <c r="K6" s="35">
        <v>-10</v>
      </c>
      <c r="L6" s="35">
        <v>-5</v>
      </c>
      <c r="M6" s="35">
        <v>0</v>
      </c>
      <c r="N6" s="35">
        <v>5</v>
      </c>
      <c r="O6" s="35">
        <v>10</v>
      </c>
      <c r="P6" s="35">
        <v>15</v>
      </c>
      <c r="Q6" s="35">
        <v>20</v>
      </c>
      <c r="R6" s="35">
        <v>25</v>
      </c>
      <c r="S6" s="35">
        <v>30</v>
      </c>
      <c r="T6" s="35">
        <v>35</v>
      </c>
      <c r="U6" s="73">
        <v>-30</v>
      </c>
      <c r="V6" s="35">
        <v>-25</v>
      </c>
      <c r="W6" s="35">
        <v>-20</v>
      </c>
      <c r="X6" s="35">
        <v>-15</v>
      </c>
      <c r="Y6" s="35">
        <v>-10</v>
      </c>
      <c r="Z6" s="35">
        <v>-5</v>
      </c>
      <c r="AA6" s="35">
        <v>0</v>
      </c>
      <c r="AB6" s="35">
        <v>5</v>
      </c>
      <c r="AC6" s="35">
        <v>10</v>
      </c>
      <c r="AD6" s="35">
        <v>15</v>
      </c>
      <c r="AE6" s="35">
        <v>20</v>
      </c>
      <c r="AF6" s="35">
        <v>25</v>
      </c>
      <c r="AG6" s="35">
        <v>30</v>
      </c>
      <c r="AH6" s="36">
        <v>35</v>
      </c>
    </row>
    <row r="7" spans="2:34" x14ac:dyDescent="0.25">
      <c r="C7" t="s">
        <v>124</v>
      </c>
      <c r="D7" t="s">
        <v>128</v>
      </c>
      <c r="E7" s="32">
        <v>10.3</v>
      </c>
      <c r="F7" s="32">
        <v>1.3</v>
      </c>
      <c r="G7" s="43">
        <v>11490</v>
      </c>
      <c r="H7" s="44">
        <f>E7/G7</f>
        <v>8.9643167972149702E-4</v>
      </c>
      <c r="I7" s="44">
        <v>12440</v>
      </c>
      <c r="J7" s="44"/>
      <c r="K7" s="44">
        <v>13190</v>
      </c>
      <c r="L7" s="44"/>
      <c r="M7" s="44">
        <v>13830</v>
      </c>
      <c r="N7" s="44"/>
      <c r="O7" s="44">
        <v>14460</v>
      </c>
      <c r="P7" s="44"/>
      <c r="Q7" s="44">
        <v>15170</v>
      </c>
      <c r="R7" s="44">
        <v>15580</v>
      </c>
      <c r="S7" s="44">
        <v>16050</v>
      </c>
      <c r="T7" s="44">
        <v>16580</v>
      </c>
      <c r="U7" s="37">
        <f>(($F7*230*18)+($E7*1.3333*230))/(G7*18)</f>
        <v>4.1294786287593074E-2</v>
      </c>
      <c r="V7" s="38"/>
      <c r="W7" s="38">
        <f>(($F7*230*18)+($E7*1.3333*230))/(I7*18)</f>
        <v>3.8141245534119329E-2</v>
      </c>
      <c r="X7" s="38"/>
      <c r="Y7" s="38">
        <f>(($F7*230*18)+($E7*1.3333*230))/(K7*18)</f>
        <v>3.5972486311178505E-2</v>
      </c>
      <c r="Z7" s="38"/>
      <c r="AA7" s="38">
        <f>(($F7*230*18)+($E7*1.3333*230))/(M7*18)</f>
        <v>3.4307815939583833E-2</v>
      </c>
      <c r="AB7" s="38"/>
      <c r="AC7" s="38">
        <f>(($F7*230*18)+($E7*1.3333*230))/(O7*18)</f>
        <v>3.2813077070846783E-2</v>
      </c>
      <c r="AD7" s="38"/>
      <c r="AE7" s="38">
        <f t="shared" ref="AE7:AH18" si="0">(($F7*230*18)+($E7*1.3333*230))/(Q7*18)</f>
        <v>3.1277329890866477E-2</v>
      </c>
      <c r="AF7" s="38">
        <f t="shared" si="0"/>
        <v>3.0454242262159464E-2</v>
      </c>
      <c r="AG7" s="38">
        <f t="shared" si="0"/>
        <v>2.9562435790931117E-2</v>
      </c>
      <c r="AH7" s="39">
        <f t="shared" si="0"/>
        <v>2.8617436335611847E-2</v>
      </c>
    </row>
    <row r="8" spans="2:34" x14ac:dyDescent="0.25">
      <c r="D8" t="s">
        <v>129</v>
      </c>
      <c r="E8" s="32">
        <v>24.9</v>
      </c>
      <c r="F8" s="32">
        <v>2.6</v>
      </c>
      <c r="G8" s="43">
        <v>30820</v>
      </c>
      <c r="H8" s="44">
        <f t="shared" ref="H8:H23" si="1">E8/G8</f>
        <v>8.0791693705386104E-4</v>
      </c>
      <c r="I8" s="44">
        <v>33370</v>
      </c>
      <c r="J8" s="44"/>
      <c r="K8" s="44">
        <v>35380</v>
      </c>
      <c r="L8" s="44"/>
      <c r="M8" s="44">
        <v>37110</v>
      </c>
      <c r="N8" s="44"/>
      <c r="O8" s="44">
        <v>38800</v>
      </c>
      <c r="P8" s="44"/>
      <c r="Q8" s="44">
        <v>40700</v>
      </c>
      <c r="R8" s="44">
        <v>41800</v>
      </c>
      <c r="S8" s="44">
        <v>43050</v>
      </c>
      <c r="T8" s="44">
        <v>44470</v>
      </c>
      <c r="U8" s="37">
        <f t="shared" ref="U8:U23" si="2">(($F8*230*18)+($E8*1.3333*230))/(G8*18)</f>
        <v>3.3167151741293532E-2</v>
      </c>
      <c r="V8" s="38"/>
      <c r="W8" s="38">
        <f t="shared" ref="W8:W23" si="3">(($F8*230*18)+($E8*1.3333*230))/(I8*18)</f>
        <v>3.0632652582159622E-2</v>
      </c>
      <c r="X8" s="38"/>
      <c r="Y8" s="38">
        <f t="shared" ref="Y8:Y23" si="4">(($F8*230*18)+($E8*1.3333*230))/(K8*18)</f>
        <v>2.889235773506689E-2</v>
      </c>
      <c r="Z8" s="38"/>
      <c r="AA8" s="38">
        <f t="shared" ref="AA8:AA23" si="5">(($F8*230*18)+($E8*1.3333*230))/(M8*18)</f>
        <v>2.7545449115242968E-2</v>
      </c>
      <c r="AB8" s="38"/>
      <c r="AC8" s="38">
        <f t="shared" ref="AC8:AC20" si="6">(($F8*230*18)+($E8*1.3333*230))/(O8*18)</f>
        <v>2.6345660223367696E-2</v>
      </c>
      <c r="AD8" s="38"/>
      <c r="AE8" s="38">
        <f t="shared" si="0"/>
        <v>2.5115764537264534E-2</v>
      </c>
      <c r="AF8" s="38">
        <f t="shared" si="0"/>
        <v>2.4454823365231259E-2</v>
      </c>
      <c r="AG8" s="38">
        <f t="shared" si="0"/>
        <v>2.3744753000387146E-2</v>
      </c>
      <c r="AH8" s="39">
        <f t="shared" si="0"/>
        <v>2.2986544112135521E-2</v>
      </c>
    </row>
    <row r="9" spans="2:34" x14ac:dyDescent="0.25">
      <c r="D9" t="s">
        <v>130</v>
      </c>
      <c r="E9" s="32">
        <v>63.1</v>
      </c>
      <c r="F9" s="32">
        <v>8</v>
      </c>
      <c r="G9" s="43">
        <v>76670</v>
      </c>
      <c r="H9" s="44">
        <f t="shared" si="1"/>
        <v>8.230076953175949E-4</v>
      </c>
      <c r="I9" s="44">
        <v>83040</v>
      </c>
      <c r="J9" s="44"/>
      <c r="K9" s="44">
        <v>88040</v>
      </c>
      <c r="L9" s="44"/>
      <c r="M9" s="44">
        <v>92330</v>
      </c>
      <c r="N9" s="44"/>
      <c r="O9" s="44">
        <v>96530</v>
      </c>
      <c r="P9" s="44"/>
      <c r="Q9" s="44">
        <v>101260</v>
      </c>
      <c r="R9" s="44">
        <v>104010</v>
      </c>
      <c r="S9" s="44">
        <v>107110</v>
      </c>
      <c r="T9" s="44">
        <v>110640</v>
      </c>
      <c r="U9" s="37">
        <f t="shared" si="2"/>
        <v>3.802021861368346E-2</v>
      </c>
      <c r="V9" s="38"/>
      <c r="W9" s="38">
        <f t="shared" si="3"/>
        <v>3.5103686911260971E-2</v>
      </c>
      <c r="X9" s="38"/>
      <c r="Y9" s="38">
        <f t="shared" si="4"/>
        <v>3.3110065437427429E-2</v>
      </c>
      <c r="Z9" s="38"/>
      <c r="AA9" s="38">
        <f t="shared" si="5"/>
        <v>3.1571646930695453E-2</v>
      </c>
      <c r="AB9" s="38"/>
      <c r="AC9" s="38">
        <f t="shared" si="6"/>
        <v>3.0197971212173533E-2</v>
      </c>
      <c r="AD9" s="38"/>
      <c r="AE9" s="38">
        <f t="shared" si="0"/>
        <v>2.8787380615357606E-2</v>
      </c>
      <c r="AF9" s="38">
        <f t="shared" si="0"/>
        <v>2.8026249025200567E-2</v>
      </c>
      <c r="AG9" s="38">
        <f t="shared" si="0"/>
        <v>2.72151074699945E-2</v>
      </c>
      <c r="AH9" s="39">
        <f t="shared" si="0"/>
        <v>2.6346801890013656E-2</v>
      </c>
    </row>
    <row r="10" spans="2:34" x14ac:dyDescent="0.25">
      <c r="C10" s="55" t="s">
        <v>132</v>
      </c>
      <c r="D10" s="55" t="s">
        <v>133</v>
      </c>
      <c r="E10" s="56">
        <v>53.6</v>
      </c>
      <c r="F10" s="56">
        <v>9.1999999999999993</v>
      </c>
      <c r="G10" s="57">
        <v>68652</v>
      </c>
      <c r="H10" s="44">
        <f t="shared" si="1"/>
        <v>7.8074928625531672E-4</v>
      </c>
      <c r="I10" s="59">
        <v>76280</v>
      </c>
      <c r="J10" s="44"/>
      <c r="K10" s="59">
        <v>79332</v>
      </c>
      <c r="L10" s="44"/>
      <c r="M10" s="59">
        <v>83908</v>
      </c>
      <c r="N10" s="44"/>
      <c r="O10" s="59">
        <v>88485</v>
      </c>
      <c r="P10" s="44"/>
      <c r="Q10" s="59">
        <v>91536</v>
      </c>
      <c r="R10" s="59">
        <v>93062</v>
      </c>
      <c r="S10" s="60"/>
      <c r="T10" s="59">
        <v>100690</v>
      </c>
      <c r="U10" s="61">
        <f t="shared" si="2"/>
        <v>4.4123439310661823E-2</v>
      </c>
      <c r="V10" s="60"/>
      <c r="W10" s="60">
        <f t="shared" si="3"/>
        <v>3.9711095379595641E-2</v>
      </c>
      <c r="X10" s="60"/>
      <c r="Y10" s="60">
        <f t="shared" si="4"/>
        <v>3.8183360504658335E-2</v>
      </c>
      <c r="Z10" s="60"/>
      <c r="AA10" s="60">
        <f t="shared" si="5"/>
        <v>3.6100995799632399E-2</v>
      </c>
      <c r="AB10" s="60"/>
      <c r="AC10" s="60">
        <f t="shared" si="6"/>
        <v>3.4233625536029329E-2</v>
      </c>
      <c r="AD10" s="60"/>
      <c r="AE10" s="60">
        <f t="shared" si="0"/>
        <v>3.3092579482996369E-2</v>
      </c>
      <c r="AF10" s="60">
        <f t="shared" si="0"/>
        <v>3.2549938272931546E-2</v>
      </c>
      <c r="AG10" s="60"/>
      <c r="AH10" s="62">
        <f t="shared" si="0"/>
        <v>3.0084043654340604E-2</v>
      </c>
    </row>
    <row r="11" spans="2:34" x14ac:dyDescent="0.25">
      <c r="D11" t="s">
        <v>134</v>
      </c>
      <c r="E11" s="32">
        <v>78</v>
      </c>
      <c r="F11" s="32">
        <v>19.2</v>
      </c>
      <c r="G11" s="43">
        <v>138000</v>
      </c>
      <c r="H11" s="44">
        <f t="shared" si="1"/>
        <v>5.6521739130434778E-4</v>
      </c>
      <c r="I11" s="44">
        <v>153300</v>
      </c>
      <c r="J11" s="44"/>
      <c r="K11" s="44">
        <v>159432</v>
      </c>
      <c r="L11" s="44"/>
      <c r="M11" s="44">
        <v>168630</v>
      </c>
      <c r="N11" s="44"/>
      <c r="O11" s="44">
        <v>177828</v>
      </c>
      <c r="P11" s="44"/>
      <c r="Q11" s="44">
        <v>183960</v>
      </c>
      <c r="R11" s="44">
        <v>187026</v>
      </c>
      <c r="S11" s="38"/>
      <c r="T11" s="44">
        <v>202356</v>
      </c>
      <c r="U11" s="37">
        <f t="shared" si="2"/>
        <v>4.1629388888888889E-2</v>
      </c>
      <c r="V11" s="38"/>
      <c r="W11" s="38">
        <f t="shared" si="3"/>
        <v>3.7474596651445966E-2</v>
      </c>
      <c r="X11" s="38"/>
      <c r="Y11" s="38">
        <f t="shared" si="4"/>
        <v>3.6033266011005739E-2</v>
      </c>
      <c r="Z11" s="38"/>
      <c r="AA11" s="38">
        <f t="shared" si="5"/>
        <v>3.4067815137678155E-2</v>
      </c>
      <c r="AB11" s="38"/>
      <c r="AC11" s="38">
        <f t="shared" si="6"/>
        <v>3.2305686768487905E-2</v>
      </c>
      <c r="AD11" s="38"/>
      <c r="AE11" s="38">
        <f t="shared" si="0"/>
        <v>3.1228830542871639E-2</v>
      </c>
      <c r="AF11" s="38">
        <f t="shared" si="0"/>
        <v>3.0716882501185219E-2</v>
      </c>
      <c r="AG11" s="38"/>
      <c r="AH11" s="39">
        <f t="shared" si="0"/>
        <v>2.8389845948065127E-2</v>
      </c>
    </row>
    <row r="12" spans="2:34" x14ac:dyDescent="0.25">
      <c r="D12" t="s">
        <v>135</v>
      </c>
      <c r="E12" s="32">
        <v>119.9</v>
      </c>
      <c r="F12" s="32">
        <v>23</v>
      </c>
      <c r="G12" s="43">
        <v>198788</v>
      </c>
      <c r="H12" s="44">
        <f t="shared" si="1"/>
        <v>6.0315512002736583E-4</v>
      </c>
      <c r="I12" s="44">
        <v>220875</v>
      </c>
      <c r="J12" s="44"/>
      <c r="K12" s="44">
        <v>229625</v>
      </c>
      <c r="L12" s="44"/>
      <c r="M12" s="44">
        <v>242875</v>
      </c>
      <c r="N12" s="44"/>
      <c r="O12" s="44">
        <v>256125</v>
      </c>
      <c r="P12" s="44"/>
      <c r="Q12" s="44">
        <v>265000</v>
      </c>
      <c r="R12" s="44">
        <v>269375</v>
      </c>
      <c r="S12" s="38"/>
      <c r="T12" s="44">
        <v>291464</v>
      </c>
      <c r="U12" s="37">
        <f t="shared" si="2"/>
        <v>3.6886983481006004E-2</v>
      </c>
      <c r="V12" s="38"/>
      <c r="W12" s="38">
        <f t="shared" si="3"/>
        <v>3.319836863484877E-2</v>
      </c>
      <c r="X12" s="38"/>
      <c r="Y12" s="38">
        <f t="shared" si="4"/>
        <v>3.1933324647674344E-2</v>
      </c>
      <c r="Z12" s="38"/>
      <c r="AA12" s="38">
        <f t="shared" si="5"/>
        <v>3.0191208120317951E-2</v>
      </c>
      <c r="AB12" s="38"/>
      <c r="AC12" s="38">
        <f t="shared" si="6"/>
        <v>2.8629339862263434E-2</v>
      </c>
      <c r="AD12" s="38"/>
      <c r="AE12" s="38">
        <f t="shared" si="0"/>
        <v>2.7670527064989518E-2</v>
      </c>
      <c r="AF12" s="38">
        <f t="shared" si="0"/>
        <v>2.722112175302913E-2</v>
      </c>
      <c r="AG12" s="38"/>
      <c r="AH12" s="39">
        <f t="shared" si="0"/>
        <v>2.5158131612213589E-2</v>
      </c>
    </row>
    <row r="13" spans="2:34" x14ac:dyDescent="0.25">
      <c r="C13" t="s">
        <v>136</v>
      </c>
      <c r="D13" t="s">
        <v>137</v>
      </c>
      <c r="E13" s="32">
        <v>33.700000000000003</v>
      </c>
      <c r="F13" s="32">
        <v>4.2</v>
      </c>
      <c r="G13" s="43">
        <f t="shared" ref="G13:G18" si="7">I13*0.9</f>
        <v>27900</v>
      </c>
      <c r="H13" s="44">
        <f t="shared" si="1"/>
        <v>1.2078853046594983E-3</v>
      </c>
      <c r="I13" s="44">
        <v>31000</v>
      </c>
      <c r="J13" s="44"/>
      <c r="K13" s="44">
        <f>I13*1.02</f>
        <v>31620</v>
      </c>
      <c r="L13" s="44"/>
      <c r="M13" s="44"/>
      <c r="N13" s="44"/>
      <c r="O13" s="44"/>
      <c r="P13" s="44"/>
      <c r="Q13" s="44">
        <f t="shared" ref="Q13:Q18" si="8">I13*1.15</f>
        <v>35650</v>
      </c>
      <c r="R13" s="38"/>
      <c r="S13" s="38"/>
      <c r="T13" s="38"/>
      <c r="U13" s="37">
        <f t="shared" si="2"/>
        <v>5.5201928116288337E-2</v>
      </c>
      <c r="V13" s="38"/>
      <c r="W13" s="38">
        <f t="shared" si="3"/>
        <v>4.9681735304659504E-2</v>
      </c>
      <c r="X13" s="38"/>
      <c r="Y13" s="38">
        <f t="shared" si="4"/>
        <v>4.8707583632019123E-2</v>
      </c>
      <c r="Z13" s="38"/>
      <c r="AA13" s="38"/>
      <c r="AB13" s="38"/>
      <c r="AC13" s="38"/>
      <c r="AD13" s="38"/>
      <c r="AE13" s="38">
        <f t="shared" si="0"/>
        <v>4.3201508960573481E-2</v>
      </c>
      <c r="AF13" s="38"/>
      <c r="AG13" s="38"/>
      <c r="AH13" s="39"/>
    </row>
    <row r="14" spans="2:34" x14ac:dyDescent="0.25">
      <c r="D14" t="s">
        <v>138</v>
      </c>
      <c r="E14" s="32">
        <v>23.3</v>
      </c>
      <c r="F14" s="32">
        <v>3.6</v>
      </c>
      <c r="G14" s="43">
        <f t="shared" si="7"/>
        <v>14850</v>
      </c>
      <c r="H14" s="44">
        <f t="shared" si="1"/>
        <v>1.5690235690235691E-3</v>
      </c>
      <c r="I14" s="44">
        <v>16500</v>
      </c>
      <c r="J14" s="44"/>
      <c r="K14" s="44">
        <f>I14*1.02</f>
        <v>16830</v>
      </c>
      <c r="L14" s="44"/>
      <c r="M14" s="44"/>
      <c r="N14" s="44"/>
      <c r="O14" s="44"/>
      <c r="P14" s="44"/>
      <c r="Q14" s="44">
        <f t="shared" si="8"/>
        <v>18975</v>
      </c>
      <c r="R14" s="38"/>
      <c r="S14" s="38"/>
      <c r="T14" s="38"/>
      <c r="U14" s="37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9"/>
    </row>
    <row r="15" spans="2:34" x14ac:dyDescent="0.25">
      <c r="D15" t="s">
        <v>139</v>
      </c>
      <c r="E15" s="32">
        <v>33.700000000000003</v>
      </c>
      <c r="F15" s="32">
        <v>5.4</v>
      </c>
      <c r="G15" s="43">
        <f t="shared" si="7"/>
        <v>22500</v>
      </c>
      <c r="H15" s="44">
        <f t="shared" si="1"/>
        <v>1.497777777777778E-3</v>
      </c>
      <c r="I15" s="44">
        <v>25000</v>
      </c>
      <c r="J15" s="44"/>
      <c r="K15" s="44">
        <f>I15*1.02</f>
        <v>25500</v>
      </c>
      <c r="L15" s="44"/>
      <c r="M15" s="44"/>
      <c r="N15" s="44"/>
      <c r="O15" s="44"/>
      <c r="P15" s="44"/>
      <c r="Q15" s="44">
        <f t="shared" si="8"/>
        <v>28749.999999999996</v>
      </c>
      <c r="R15" s="38"/>
      <c r="S15" s="38"/>
      <c r="T15" s="38"/>
      <c r="U15" s="37">
        <f t="shared" si="2"/>
        <v>8.0717057530864209E-2</v>
      </c>
      <c r="V15" s="38"/>
      <c r="W15" s="38">
        <f t="shared" si="3"/>
        <v>7.2645351777777784E-2</v>
      </c>
      <c r="X15" s="38"/>
      <c r="Y15" s="38">
        <f t="shared" si="4"/>
        <v>7.1220933115468413E-2</v>
      </c>
      <c r="Z15" s="38"/>
      <c r="AA15" s="38"/>
      <c r="AB15" s="38"/>
      <c r="AC15" s="38"/>
      <c r="AD15" s="38"/>
      <c r="AE15" s="38">
        <f t="shared" si="0"/>
        <v>6.3169871111111123E-2</v>
      </c>
      <c r="AF15" s="38"/>
      <c r="AG15" s="38"/>
      <c r="AH15" s="39"/>
    </row>
    <row r="16" spans="2:34" x14ac:dyDescent="0.25">
      <c r="D16" t="s">
        <v>140</v>
      </c>
      <c r="E16" s="32">
        <v>27.5</v>
      </c>
      <c r="F16" s="32">
        <v>5.2</v>
      </c>
      <c r="G16" s="43">
        <f t="shared" si="7"/>
        <v>40500</v>
      </c>
      <c r="H16" s="44">
        <f t="shared" si="1"/>
        <v>6.7901234567901232E-4</v>
      </c>
      <c r="I16" s="44">
        <v>45000</v>
      </c>
      <c r="J16" s="44"/>
      <c r="K16" s="44">
        <f>I16*1.04</f>
        <v>46800</v>
      </c>
      <c r="L16" s="44"/>
      <c r="M16" s="44"/>
      <c r="N16" s="44"/>
      <c r="O16" s="44"/>
      <c r="P16" s="44"/>
      <c r="Q16" s="44">
        <f t="shared" si="8"/>
        <v>51749.999999999993</v>
      </c>
      <c r="R16" s="38"/>
      <c r="S16" s="38"/>
      <c r="T16" s="38"/>
      <c r="U16" s="37">
        <f t="shared" si="2"/>
        <v>4.109893347050754E-2</v>
      </c>
      <c r="V16" s="38"/>
      <c r="W16" s="38">
        <f t="shared" si="3"/>
        <v>3.6989040123456787E-2</v>
      </c>
      <c r="X16" s="38"/>
      <c r="Y16" s="38">
        <f t="shared" si="4"/>
        <v>3.5566384734093064E-2</v>
      </c>
      <c r="Z16" s="38"/>
      <c r="AA16" s="38"/>
      <c r="AB16" s="38"/>
      <c r="AC16" s="38"/>
      <c r="AD16" s="38"/>
      <c r="AE16" s="38">
        <f t="shared" si="0"/>
        <v>3.2164382716049385E-2</v>
      </c>
      <c r="AF16" s="38"/>
      <c r="AG16" s="38"/>
      <c r="AH16" s="39"/>
    </row>
    <row r="17" spans="2:34" x14ac:dyDescent="0.25">
      <c r="D17" t="s">
        <v>141</v>
      </c>
      <c r="E17" s="32">
        <v>128.4</v>
      </c>
      <c r="F17" s="32">
        <v>28</v>
      </c>
      <c r="G17" s="43">
        <f t="shared" si="7"/>
        <v>91800</v>
      </c>
      <c r="H17" s="44">
        <f t="shared" si="1"/>
        <v>1.3986928104575164E-3</v>
      </c>
      <c r="I17" s="44">
        <v>102000</v>
      </c>
      <c r="J17" s="44"/>
      <c r="K17" s="44">
        <f>I17*1.04</f>
        <v>106080</v>
      </c>
      <c r="L17" s="44"/>
      <c r="M17" s="44"/>
      <c r="N17" s="44"/>
      <c r="O17" s="44"/>
      <c r="P17" s="44"/>
      <c r="Q17" s="44">
        <f t="shared" si="8"/>
        <v>117299.99999999999</v>
      </c>
      <c r="R17" s="38"/>
      <c r="S17" s="38"/>
      <c r="T17" s="38"/>
      <c r="U17" s="37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9"/>
    </row>
    <row r="18" spans="2:34" x14ac:dyDescent="0.25">
      <c r="D18" t="s">
        <v>142</v>
      </c>
      <c r="E18" s="32">
        <v>87.2</v>
      </c>
      <c r="F18" s="32">
        <v>21</v>
      </c>
      <c r="G18" s="43">
        <f t="shared" si="7"/>
        <v>129600</v>
      </c>
      <c r="H18" s="44">
        <f t="shared" si="1"/>
        <v>6.7283950617283948E-4</v>
      </c>
      <c r="I18" s="44">
        <v>144000</v>
      </c>
      <c r="J18" s="44"/>
      <c r="K18" s="44">
        <f>I18*1.04</f>
        <v>149760</v>
      </c>
      <c r="L18" s="44"/>
      <c r="M18" s="44"/>
      <c r="N18" s="44"/>
      <c r="O18" s="44"/>
      <c r="P18" s="44"/>
      <c r="Q18" s="44">
        <f t="shared" si="8"/>
        <v>165600</v>
      </c>
      <c r="R18" s="38"/>
      <c r="S18" s="38"/>
      <c r="T18" s="38"/>
      <c r="U18" s="37">
        <f t="shared" si="2"/>
        <v>4.8731423525377231E-2</v>
      </c>
      <c r="V18" s="38"/>
      <c r="W18" s="38">
        <f t="shared" si="3"/>
        <v>4.3858281172839506E-2</v>
      </c>
      <c r="X18" s="38"/>
      <c r="Y18" s="38">
        <f t="shared" si="4"/>
        <v>4.217142420465337E-2</v>
      </c>
      <c r="Z18" s="38"/>
      <c r="AA18" s="38"/>
      <c r="AB18" s="38"/>
      <c r="AC18" s="38"/>
      <c r="AD18" s="38"/>
      <c r="AE18" s="38">
        <f t="shared" si="0"/>
        <v>3.8137635802469136E-2</v>
      </c>
      <c r="AF18" s="38"/>
      <c r="AG18" s="38"/>
      <c r="AH18" s="39"/>
    </row>
    <row r="19" spans="2:34" x14ac:dyDescent="0.25">
      <c r="C19" t="s">
        <v>163</v>
      </c>
      <c r="D19" t="s">
        <v>164</v>
      </c>
      <c r="E19" s="32">
        <v>14.5</v>
      </c>
      <c r="F19" s="32">
        <v>1.7</v>
      </c>
      <c r="G19" s="43"/>
      <c r="H19" s="44"/>
      <c r="I19" s="44"/>
      <c r="J19" s="44"/>
      <c r="K19" s="44"/>
      <c r="L19" s="44"/>
      <c r="M19" s="44"/>
      <c r="N19" s="44"/>
      <c r="O19" s="44">
        <v>17640</v>
      </c>
      <c r="P19" s="44"/>
      <c r="Q19" s="44">
        <v>18000</v>
      </c>
      <c r="R19" s="38"/>
      <c r="S19" s="38"/>
      <c r="T19" s="38"/>
      <c r="U19" s="37"/>
      <c r="V19" s="38"/>
      <c r="W19" s="38"/>
      <c r="X19" s="38"/>
      <c r="Y19" s="38"/>
      <c r="Z19" s="38"/>
      <c r="AA19" s="38"/>
      <c r="AB19" s="38"/>
      <c r="AC19" s="38">
        <f t="shared" si="6"/>
        <v>3.6169549949609477E-2</v>
      </c>
      <c r="AD19" s="38"/>
      <c r="AE19" s="38"/>
      <c r="AF19" s="38"/>
      <c r="AG19" s="38"/>
      <c r="AH19" s="39"/>
    </row>
    <row r="20" spans="2:34" x14ac:dyDescent="0.25">
      <c r="D20" t="s">
        <v>165</v>
      </c>
      <c r="E20" s="32">
        <v>26.9</v>
      </c>
      <c r="F20" s="32">
        <v>3.4</v>
      </c>
      <c r="G20" s="43"/>
      <c r="H20" s="44"/>
      <c r="I20" s="44"/>
      <c r="J20" s="44"/>
      <c r="K20" s="44"/>
      <c r="L20" s="44"/>
      <c r="M20" s="44"/>
      <c r="N20" s="44"/>
      <c r="O20" s="44">
        <v>44100</v>
      </c>
      <c r="P20" s="44"/>
      <c r="Q20" s="44">
        <v>45000</v>
      </c>
      <c r="R20" s="38"/>
      <c r="S20" s="38"/>
      <c r="T20" s="38"/>
      <c r="U20" s="37"/>
      <c r="V20" s="38"/>
      <c r="W20" s="38"/>
      <c r="X20" s="38"/>
      <c r="Y20" s="38"/>
      <c r="Z20" s="38"/>
      <c r="AA20" s="38"/>
      <c r="AB20" s="38"/>
      <c r="AC20" s="38">
        <f t="shared" si="6"/>
        <v>2.812437276392038E-2</v>
      </c>
      <c r="AD20" s="38"/>
      <c r="AE20" s="38"/>
      <c r="AF20" s="38"/>
      <c r="AG20" s="38"/>
      <c r="AH20" s="39"/>
    </row>
    <row r="21" spans="2:34" x14ac:dyDescent="0.25">
      <c r="D21" t="s">
        <v>166</v>
      </c>
      <c r="E21" s="32">
        <v>14.5</v>
      </c>
      <c r="F21" s="32">
        <v>1.7</v>
      </c>
      <c r="G21" s="43">
        <v>14900</v>
      </c>
      <c r="H21" s="44">
        <f t="shared" si="1"/>
        <v>9.7315436241610738E-4</v>
      </c>
      <c r="I21" s="44">
        <v>16000</v>
      </c>
      <c r="J21" s="44"/>
      <c r="K21" s="44">
        <v>16300</v>
      </c>
      <c r="L21" s="44"/>
      <c r="M21" s="44">
        <v>16500</v>
      </c>
      <c r="N21" s="44"/>
      <c r="O21" s="44"/>
      <c r="P21" s="44"/>
      <c r="Q21" s="44"/>
      <c r="R21" s="38"/>
      <c r="S21" s="38"/>
      <c r="T21" s="38"/>
      <c r="U21" s="37">
        <f t="shared" si="2"/>
        <v>4.2820863161819538E-2</v>
      </c>
      <c r="V21" s="38"/>
      <c r="W21" s="38">
        <f t="shared" si="3"/>
        <v>3.9876928819444449E-2</v>
      </c>
      <c r="X21" s="38"/>
      <c r="Y21" s="38">
        <f t="shared" si="4"/>
        <v>3.9142997614178596E-2</v>
      </c>
      <c r="Z21" s="38"/>
      <c r="AA21" s="38">
        <f t="shared" si="5"/>
        <v>3.8668537037037036E-2</v>
      </c>
      <c r="AB21" s="38"/>
      <c r="AC21" s="38"/>
      <c r="AD21" s="38"/>
      <c r="AE21" s="38"/>
      <c r="AF21" s="38"/>
      <c r="AG21" s="38"/>
      <c r="AH21" s="39"/>
    </row>
    <row r="22" spans="2:34" x14ac:dyDescent="0.25">
      <c r="D22" t="s">
        <v>167</v>
      </c>
      <c r="E22" s="32">
        <v>26.9</v>
      </c>
      <c r="F22" s="32">
        <v>1.7</v>
      </c>
      <c r="G22" s="43">
        <v>29500</v>
      </c>
      <c r="H22" s="44">
        <f t="shared" si="1"/>
        <v>9.1186440677966092E-4</v>
      </c>
      <c r="I22" s="44">
        <v>32000</v>
      </c>
      <c r="J22" s="44"/>
      <c r="K22" s="44">
        <v>33200</v>
      </c>
      <c r="L22" s="44"/>
      <c r="M22" s="44">
        <v>34100</v>
      </c>
      <c r="N22" s="44"/>
      <c r="O22" s="44"/>
      <c r="P22" s="44"/>
      <c r="Q22" s="44"/>
      <c r="R22" s="38"/>
      <c r="S22" s="38"/>
      <c r="T22" s="38"/>
      <c r="U22" s="37">
        <f t="shared" si="2"/>
        <v>2.8789316572504709E-2</v>
      </c>
      <c r="V22" s="38"/>
      <c r="W22" s="38">
        <f t="shared" si="3"/>
        <v>2.6540151215277776E-2</v>
      </c>
      <c r="X22" s="38"/>
      <c r="Y22" s="38">
        <f t="shared" si="4"/>
        <v>2.5580868641231592E-2</v>
      </c>
      <c r="Z22" s="38"/>
      <c r="AA22" s="38">
        <f t="shared" si="5"/>
        <v>2.4905713750407298E-2</v>
      </c>
      <c r="AB22" s="38"/>
      <c r="AC22" s="38"/>
      <c r="AD22" s="38"/>
      <c r="AE22" s="38"/>
      <c r="AF22" s="38"/>
      <c r="AG22" s="38"/>
      <c r="AH22" s="39"/>
    </row>
    <row r="23" spans="2:34" ht="15.75" thickBot="1" x14ac:dyDescent="0.3">
      <c r="D23" t="s">
        <v>168</v>
      </c>
      <c r="E23" s="32">
        <v>26.9</v>
      </c>
      <c r="F23" s="32">
        <v>3.4</v>
      </c>
      <c r="G23" s="45">
        <v>26000</v>
      </c>
      <c r="H23" s="44">
        <f t="shared" si="1"/>
        <v>1.0346153846153845E-3</v>
      </c>
      <c r="I23" s="46">
        <v>28000</v>
      </c>
      <c r="J23" s="44"/>
      <c r="K23" s="46">
        <v>28700</v>
      </c>
      <c r="L23" s="44"/>
      <c r="M23" s="46">
        <v>29300</v>
      </c>
      <c r="N23" s="44"/>
      <c r="O23" s="46"/>
      <c r="P23" s="44"/>
      <c r="Q23" s="46"/>
      <c r="R23" s="41"/>
      <c r="S23" s="41"/>
      <c r="T23" s="41"/>
      <c r="U23" s="40">
        <f t="shared" si="2"/>
        <v>4.770326303418803E-2</v>
      </c>
      <c r="V23" s="41"/>
      <c r="W23" s="41">
        <f t="shared" si="3"/>
        <v>4.42958871031746E-2</v>
      </c>
      <c r="X23" s="41"/>
      <c r="Y23" s="41">
        <f t="shared" si="4"/>
        <v>4.3215499612853266E-2</v>
      </c>
      <c r="Z23" s="41"/>
      <c r="AA23" s="41">
        <f t="shared" si="5"/>
        <v>4.2330540576412584E-2</v>
      </c>
      <c r="AB23" s="41"/>
      <c r="AC23" s="41"/>
      <c r="AD23" s="41"/>
      <c r="AE23" s="41"/>
      <c r="AF23" s="41"/>
      <c r="AG23" s="41"/>
      <c r="AH23" s="42"/>
    </row>
    <row r="24" spans="2:34" x14ac:dyDescent="0.25">
      <c r="H24">
        <f>AVERAGE(H7:H23)</f>
        <v>9.6142290515075662E-4</v>
      </c>
      <c r="T24" t="s">
        <v>162</v>
      </c>
      <c r="U24" s="48">
        <f>AVERAGE(U8:U23)</f>
        <v>4.4907497287256938E-2</v>
      </c>
      <c r="V24" s="38"/>
      <c r="W24" s="48">
        <f>AVERAGE(W8:W23)</f>
        <v>4.0833981306328447E-2</v>
      </c>
      <c r="X24" s="38"/>
      <c r="Y24" s="48">
        <f>AVERAGE(Y8:Y23)</f>
        <v>3.9479838824194181E-2</v>
      </c>
      <c r="Z24" s="38"/>
      <c r="AA24" s="38">
        <f>AVERAGE(AA8:AA23)</f>
        <v>3.3172738308427978E-2</v>
      </c>
      <c r="AB24" s="38"/>
      <c r="AC24" s="38">
        <f>AVERAGE(AC8:AC23)</f>
        <v>3.0858029473693104E-2</v>
      </c>
      <c r="AD24" s="38"/>
      <c r="AE24" s="48">
        <f>(SUM(AE7:AE18))/12</f>
        <v>2.9487150893712441E-2</v>
      </c>
      <c r="AF24" s="38"/>
      <c r="AG24" s="38">
        <f>(SUM(AG7:AG9))/3</f>
        <v>2.684076542043759E-2</v>
      </c>
      <c r="AH24" s="38"/>
    </row>
    <row r="25" spans="2:34" x14ac:dyDescent="0.25">
      <c r="T25" s="33" t="s">
        <v>161</v>
      </c>
      <c r="U25">
        <v>5.11E-2</v>
      </c>
      <c r="W25">
        <v>4.6300000000000001E-2</v>
      </c>
      <c r="Y25">
        <v>4.4900000000000002E-2</v>
      </c>
      <c r="AA25">
        <v>3.32E-2</v>
      </c>
      <c r="AC25">
        <v>3.3000000000000002E-2</v>
      </c>
      <c r="AE25">
        <v>3.2000000000000001E-2</v>
      </c>
      <c r="AG25">
        <v>2.7E-2</v>
      </c>
    </row>
    <row r="26" spans="2:34" x14ac:dyDescent="0.25">
      <c r="E26" s="2"/>
      <c r="F26" s="2"/>
    </row>
    <row r="27" spans="2:34" ht="15.75" thickBot="1" x14ac:dyDescent="0.3">
      <c r="E27" s="2"/>
      <c r="F27" s="2"/>
    </row>
    <row r="28" spans="2:34" x14ac:dyDescent="0.25">
      <c r="B28" t="s">
        <v>144</v>
      </c>
      <c r="G28" s="107" t="s">
        <v>150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7" t="s">
        <v>160</v>
      </c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</row>
    <row r="29" spans="2:34" ht="30" x14ac:dyDescent="0.25">
      <c r="E29" s="72" t="s">
        <v>146</v>
      </c>
      <c r="F29" s="47" t="s">
        <v>147</v>
      </c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0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2"/>
    </row>
    <row r="30" spans="2:34" x14ac:dyDescent="0.25">
      <c r="D30" s="33" t="s">
        <v>126</v>
      </c>
      <c r="E30" s="33" t="s">
        <v>127</v>
      </c>
      <c r="F30" s="33" t="s">
        <v>127</v>
      </c>
      <c r="G30" s="73">
        <v>-30</v>
      </c>
      <c r="H30" s="35">
        <v>-25</v>
      </c>
      <c r="I30" s="35">
        <v>-20</v>
      </c>
      <c r="J30" s="35">
        <v>-15</v>
      </c>
      <c r="K30" s="35">
        <v>-10</v>
      </c>
      <c r="L30" s="35">
        <v>-5</v>
      </c>
      <c r="M30" s="35">
        <v>0</v>
      </c>
      <c r="N30" s="35">
        <v>5</v>
      </c>
      <c r="O30" s="35">
        <v>10</v>
      </c>
      <c r="P30" s="35">
        <v>15</v>
      </c>
      <c r="Q30" s="35">
        <v>20</v>
      </c>
      <c r="R30" s="35">
        <v>25</v>
      </c>
      <c r="S30" s="35">
        <v>30</v>
      </c>
      <c r="T30" s="35">
        <v>35</v>
      </c>
      <c r="U30" s="73">
        <v>-30</v>
      </c>
      <c r="V30" s="35">
        <v>-25</v>
      </c>
      <c r="W30" s="35">
        <v>-20</v>
      </c>
      <c r="X30" s="35">
        <v>-15</v>
      </c>
      <c r="Y30" s="35">
        <v>-10</v>
      </c>
      <c r="Z30" s="35">
        <v>-5</v>
      </c>
      <c r="AA30" s="35">
        <v>0</v>
      </c>
      <c r="AB30" s="35">
        <v>5</v>
      </c>
      <c r="AC30" s="35">
        <v>10</v>
      </c>
      <c r="AD30" s="35">
        <v>15</v>
      </c>
      <c r="AE30" s="35">
        <v>20</v>
      </c>
      <c r="AF30" s="35">
        <v>25</v>
      </c>
      <c r="AG30" s="35">
        <v>30</v>
      </c>
      <c r="AH30" s="36">
        <v>35</v>
      </c>
    </row>
    <row r="31" spans="2:34" x14ac:dyDescent="0.25">
      <c r="C31" t="s">
        <v>145</v>
      </c>
      <c r="D31" t="s">
        <v>148</v>
      </c>
      <c r="E31">
        <v>22.3</v>
      </c>
      <c r="F31">
        <v>2.2000000000000002</v>
      </c>
      <c r="G31" s="37"/>
      <c r="H31" s="38"/>
      <c r="I31" s="38"/>
      <c r="J31" s="38"/>
      <c r="K31" s="38">
        <v>25180</v>
      </c>
      <c r="L31" s="38"/>
      <c r="M31" s="38">
        <v>31413</v>
      </c>
      <c r="N31" s="38"/>
      <c r="O31" s="38">
        <v>39012</v>
      </c>
      <c r="P31" s="38"/>
      <c r="Q31" s="38">
        <v>47822</v>
      </c>
      <c r="R31" s="38">
        <v>52666</v>
      </c>
      <c r="S31" s="38">
        <v>57711</v>
      </c>
      <c r="T31" s="38"/>
      <c r="U31" s="37"/>
      <c r="V31" s="38"/>
      <c r="W31" s="38"/>
      <c r="X31" s="38"/>
      <c r="Y31" s="38">
        <f>((($E$31+$F$31))*230)/K31</f>
        <v>0.22378872120730739</v>
      </c>
      <c r="Z31" s="38"/>
      <c r="AA31" s="38">
        <f>((($E$31+$F$31))*230)/M31</f>
        <v>0.17938433132779422</v>
      </c>
      <c r="AB31" s="38"/>
      <c r="AC31" s="38">
        <f>((($E$31+$F$31))*230)/O31</f>
        <v>0.14444273556854301</v>
      </c>
      <c r="AD31" s="38"/>
      <c r="AE31" s="38">
        <f t="shared" ref="AE31:AG32" si="9">((($E$31+$F$31))*230)/Q31</f>
        <v>0.11783279662080214</v>
      </c>
      <c r="AF31" s="38">
        <f t="shared" si="9"/>
        <v>0.10699502525348423</v>
      </c>
      <c r="AG31" s="38">
        <f t="shared" si="9"/>
        <v>9.7641697423368159E-2</v>
      </c>
      <c r="AH31" s="39"/>
    </row>
    <row r="32" spans="2:34" x14ac:dyDescent="0.25">
      <c r="D32" t="s">
        <v>149</v>
      </c>
      <c r="E32">
        <v>43.6</v>
      </c>
      <c r="F32">
        <v>4.4000000000000004</v>
      </c>
      <c r="G32" s="37"/>
      <c r="H32" s="38"/>
      <c r="I32" s="38"/>
      <c r="J32" s="38"/>
      <c r="K32" s="38">
        <v>55291</v>
      </c>
      <c r="L32" s="38"/>
      <c r="M32" s="38">
        <v>66887</v>
      </c>
      <c r="N32" s="38"/>
      <c r="O32" s="38">
        <v>81209</v>
      </c>
      <c r="P32" s="38"/>
      <c r="Q32" s="38">
        <v>98341</v>
      </c>
      <c r="R32" s="38">
        <v>107808</v>
      </c>
      <c r="S32" s="38">
        <v>117893</v>
      </c>
      <c r="T32" s="38"/>
      <c r="U32" s="37"/>
      <c r="V32" s="38"/>
      <c r="W32" s="38"/>
      <c r="X32" s="38"/>
      <c r="Y32" s="38">
        <f>((($E$31+$F$31))*230)/K32</f>
        <v>0.10191532075744696</v>
      </c>
      <c r="Z32" s="38"/>
      <c r="AA32" s="38">
        <f>((($E$31+$F$31))*230)/M32</f>
        <v>8.4246565102336773E-2</v>
      </c>
      <c r="AB32" s="38"/>
      <c r="AC32" s="38">
        <f>((($E$31+$F$31))*230)/O32</f>
        <v>6.9388860840547226E-2</v>
      </c>
      <c r="AD32" s="38"/>
      <c r="AE32" s="38">
        <f t="shared" si="9"/>
        <v>5.7300617240011793E-2</v>
      </c>
      <c r="AF32" s="38">
        <f t="shared" si="9"/>
        <v>5.2268848322944497E-2</v>
      </c>
      <c r="AG32" s="38">
        <f t="shared" si="9"/>
        <v>4.7797579160764422E-2</v>
      </c>
      <c r="AH32" s="39"/>
    </row>
    <row r="33" spans="3:34" x14ac:dyDescent="0.25">
      <c r="D33" t="s">
        <v>151</v>
      </c>
      <c r="E33">
        <v>16.8</v>
      </c>
      <c r="F33">
        <v>2.2000000000000002</v>
      </c>
      <c r="G33" s="37">
        <v>14255</v>
      </c>
      <c r="H33" s="38"/>
      <c r="I33" s="38">
        <v>18981</v>
      </c>
      <c r="J33" s="38"/>
      <c r="K33" s="38">
        <v>24500</v>
      </c>
      <c r="L33" s="38"/>
      <c r="M33" s="38">
        <v>30768</v>
      </c>
      <c r="N33" s="38"/>
      <c r="O33" s="38"/>
      <c r="P33" s="38"/>
      <c r="Q33" s="38"/>
      <c r="R33" s="38"/>
      <c r="S33" s="38"/>
      <c r="T33" s="38"/>
      <c r="U33" s="37">
        <f>((($E$31+$F$31))*230)/G33</f>
        <v>0.39529989477376359</v>
      </c>
      <c r="V33" s="38"/>
      <c r="W33" s="38">
        <f>((($E$31+$F$31))*230)/I33</f>
        <v>0.29687582319161265</v>
      </c>
      <c r="X33" s="38"/>
      <c r="Y33" s="38">
        <f>((($E$31+$F$31))*230)/K33</f>
        <v>0.23</v>
      </c>
      <c r="Z33" s="38"/>
      <c r="AA33" s="38">
        <f>((($E$31+$F$31))*230)/M33</f>
        <v>0.18314482579303173</v>
      </c>
      <c r="AB33" s="38"/>
      <c r="AC33" s="38"/>
      <c r="AD33" s="38"/>
      <c r="AE33" s="38"/>
      <c r="AF33" s="38"/>
      <c r="AG33" s="38"/>
      <c r="AH33" s="39"/>
    </row>
    <row r="34" spans="3:34" x14ac:dyDescent="0.25">
      <c r="D34" t="s">
        <v>152</v>
      </c>
      <c r="E34">
        <v>45.2</v>
      </c>
      <c r="F34">
        <v>4.5999999999999996</v>
      </c>
      <c r="G34" s="37">
        <v>42747</v>
      </c>
      <c r="H34" s="38"/>
      <c r="I34" s="38">
        <v>55948</v>
      </c>
      <c r="J34" s="38"/>
      <c r="K34" s="38">
        <v>70909</v>
      </c>
      <c r="L34" s="38"/>
      <c r="M34" s="38">
        <v>87701</v>
      </c>
      <c r="N34" s="38"/>
      <c r="O34" s="38"/>
      <c r="P34" s="38"/>
      <c r="Q34" s="38"/>
      <c r="R34" s="38"/>
      <c r="S34" s="38"/>
      <c r="T34" s="38"/>
      <c r="U34" s="37">
        <f>((($E$31+$F$31))*230)/G34</f>
        <v>0.1318221161718951</v>
      </c>
      <c r="V34" s="38"/>
      <c r="W34" s="38">
        <f>((($E$31+$F$31))*230)/I34</f>
        <v>0.10071852434403375</v>
      </c>
      <c r="X34" s="38"/>
      <c r="Y34" s="38">
        <f t="shared" ref="Y34:Y45" si="10">((($E$31+$F$31))*230)/K34</f>
        <v>7.9468050600064871E-2</v>
      </c>
      <c r="Z34" s="38"/>
      <c r="AA34" s="38">
        <f t="shared" ref="AA34:AA45" si="11">((($E$31+$F$31))*230)/M34</f>
        <v>6.4252403051276497E-2</v>
      </c>
      <c r="AB34" s="38"/>
      <c r="AC34" s="38"/>
      <c r="AD34" s="38"/>
      <c r="AE34" s="38"/>
      <c r="AF34" s="38"/>
      <c r="AG34" s="38"/>
      <c r="AH34" s="39"/>
    </row>
    <row r="35" spans="3:34" x14ac:dyDescent="0.25">
      <c r="C35" t="s">
        <v>153</v>
      </c>
      <c r="D35" t="s">
        <v>154</v>
      </c>
      <c r="E35">
        <v>20</v>
      </c>
      <c r="F35">
        <v>2.7</v>
      </c>
      <c r="G35" s="37"/>
      <c r="H35" s="38"/>
      <c r="I35" s="38"/>
      <c r="J35" s="38"/>
      <c r="K35" s="38">
        <v>19560</v>
      </c>
      <c r="L35" s="38"/>
      <c r="M35" s="38">
        <v>25330</v>
      </c>
      <c r="N35" s="38"/>
      <c r="O35" s="38"/>
      <c r="P35" s="38">
        <v>32220</v>
      </c>
      <c r="Q35" s="38">
        <v>39280</v>
      </c>
      <c r="R35" s="38"/>
      <c r="S35" s="38">
        <v>46880</v>
      </c>
      <c r="T35" s="38"/>
      <c r="U35" s="37"/>
      <c r="V35" s="38"/>
      <c r="W35" s="38"/>
      <c r="X35" s="38"/>
      <c r="Y35" s="38">
        <f t="shared" si="10"/>
        <v>0.28808793456032722</v>
      </c>
      <c r="Z35" s="38"/>
      <c r="AA35" s="38">
        <f t="shared" si="11"/>
        <v>0.22246348203711014</v>
      </c>
      <c r="AB35" s="38"/>
      <c r="AC35" s="38"/>
      <c r="AD35" s="38">
        <f>((($E$31+$F$31))*230)/P35</f>
        <v>0.17489137181874612</v>
      </c>
      <c r="AE35" s="38">
        <f>((($E$31+$F$31))*230)/Q35</f>
        <v>0.1434572301425662</v>
      </c>
      <c r="AF35" s="38"/>
      <c r="AG35" s="38">
        <f>((($E$31+$F$31))*230)/S35</f>
        <v>0.1202005119453925</v>
      </c>
      <c r="AH35" s="39"/>
    </row>
    <row r="36" spans="3:34" x14ac:dyDescent="0.25">
      <c r="D36" t="s">
        <v>155</v>
      </c>
      <c r="E36">
        <v>39</v>
      </c>
      <c r="F36">
        <v>5.4</v>
      </c>
      <c r="G36" s="37"/>
      <c r="H36" s="38"/>
      <c r="I36" s="38"/>
      <c r="J36" s="38"/>
      <c r="K36" s="38">
        <v>50180</v>
      </c>
      <c r="L36" s="38"/>
      <c r="M36" s="38">
        <v>63630</v>
      </c>
      <c r="N36" s="38"/>
      <c r="O36" s="38">
        <v>79060</v>
      </c>
      <c r="P36" s="38"/>
      <c r="Q36" s="38">
        <v>93930</v>
      </c>
      <c r="R36" s="38"/>
      <c r="S36" s="38">
        <v>109930</v>
      </c>
      <c r="T36" s="38"/>
      <c r="U36" s="37"/>
      <c r="V36" s="38"/>
      <c r="W36" s="38"/>
      <c r="X36" s="38"/>
      <c r="Y36" s="38">
        <f t="shared" si="10"/>
        <v>0.11229573535273017</v>
      </c>
      <c r="Z36" s="38"/>
      <c r="AA36" s="38">
        <f t="shared" si="11"/>
        <v>8.8558855885588553E-2</v>
      </c>
      <c r="AB36" s="38"/>
      <c r="AC36" s="38">
        <f>((($E$31+$F$31))*230)/O36</f>
        <v>7.1274981027068043E-2</v>
      </c>
      <c r="AD36" s="38"/>
      <c r="AE36" s="38">
        <f>((($E$31+$F$31))*230)/Q36</f>
        <v>5.9991483019269667E-2</v>
      </c>
      <c r="AF36" s="38"/>
      <c r="AG36" s="38">
        <f>((($E$31+$F$31))*230)/S36</f>
        <v>5.1259892658964794E-2</v>
      </c>
      <c r="AH36" s="39"/>
    </row>
    <row r="37" spans="3:34" x14ac:dyDescent="0.25">
      <c r="D37" t="s">
        <v>156</v>
      </c>
      <c r="E37">
        <v>53.5</v>
      </c>
      <c r="F37">
        <v>8.8000000000000007</v>
      </c>
      <c r="G37" s="37"/>
      <c r="H37" s="38"/>
      <c r="I37" s="38"/>
      <c r="J37" s="38"/>
      <c r="K37" s="38">
        <v>69470</v>
      </c>
      <c r="L37" s="38"/>
      <c r="M37" s="38">
        <v>87380</v>
      </c>
      <c r="N37" s="38"/>
      <c r="O37" s="38">
        <v>108240</v>
      </c>
      <c r="P37" s="38"/>
      <c r="Q37" s="38">
        <v>128610</v>
      </c>
      <c r="R37" s="38"/>
      <c r="S37" s="38">
        <v>150350</v>
      </c>
      <c r="T37" s="38"/>
      <c r="U37" s="37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9"/>
    </row>
    <row r="38" spans="3:34" x14ac:dyDescent="0.25">
      <c r="D38" t="s">
        <v>157</v>
      </c>
      <c r="E38">
        <v>23.6</v>
      </c>
      <c r="F38">
        <v>2.7</v>
      </c>
      <c r="G38" s="37">
        <v>17400</v>
      </c>
      <c r="H38" s="38"/>
      <c r="I38" s="38">
        <v>23140</v>
      </c>
      <c r="J38" s="38"/>
      <c r="K38" s="38">
        <v>29620</v>
      </c>
      <c r="L38" s="38"/>
      <c r="M38" s="38">
        <v>36470</v>
      </c>
      <c r="N38" s="38"/>
      <c r="O38" s="38"/>
      <c r="P38" s="38"/>
      <c r="Q38" s="38"/>
      <c r="R38" s="38"/>
      <c r="S38" s="38"/>
      <c r="T38" s="38"/>
      <c r="U38" s="37">
        <f>((($E$31+$F$31))*230)/G38</f>
        <v>0.32385057471264367</v>
      </c>
      <c r="V38" s="38"/>
      <c r="W38" s="38">
        <f>((($E$31+$F$31))*230)/I38</f>
        <v>0.24351771823681936</v>
      </c>
      <c r="X38" s="38"/>
      <c r="Y38" s="38">
        <f t="shared" si="10"/>
        <v>0.19024307900067522</v>
      </c>
      <c r="Z38" s="38"/>
      <c r="AA38" s="38">
        <f t="shared" si="11"/>
        <v>0.15451055662188098</v>
      </c>
      <c r="AB38" s="38"/>
      <c r="AC38" s="38"/>
      <c r="AD38" s="38"/>
      <c r="AE38" s="38"/>
      <c r="AF38" s="38"/>
      <c r="AG38" s="38"/>
      <c r="AH38" s="39"/>
    </row>
    <row r="39" spans="3:34" x14ac:dyDescent="0.25">
      <c r="D39" t="s">
        <v>158</v>
      </c>
      <c r="E39">
        <v>40.9</v>
      </c>
      <c r="F39">
        <v>8.8000000000000007</v>
      </c>
      <c r="G39" s="37">
        <v>41970</v>
      </c>
      <c r="H39" s="38"/>
      <c r="I39" s="38">
        <v>55650</v>
      </c>
      <c r="J39" s="38"/>
      <c r="K39" s="38">
        <v>70880</v>
      </c>
      <c r="L39" s="38"/>
      <c r="M39" s="38">
        <v>86720</v>
      </c>
      <c r="N39" s="38"/>
      <c r="O39" s="38"/>
      <c r="P39" s="38"/>
      <c r="Q39" s="38"/>
      <c r="R39" s="38"/>
      <c r="S39" s="38"/>
      <c r="T39" s="38"/>
      <c r="U39" s="37">
        <f>((($E$31+$F$31))*230)/G39</f>
        <v>0.13426256850131046</v>
      </c>
      <c r="V39" s="38"/>
      <c r="W39" s="38">
        <f>((($E$31+$F$31))*230)/I39</f>
        <v>0.10125786163522013</v>
      </c>
      <c r="X39" s="38"/>
      <c r="Y39" s="38">
        <f t="shared" si="10"/>
        <v>7.9500564334085783E-2</v>
      </c>
      <c r="Z39" s="38"/>
      <c r="AA39" s="38">
        <f t="shared" si="11"/>
        <v>6.4979243542435422E-2</v>
      </c>
      <c r="AB39" s="38"/>
      <c r="AC39" s="38"/>
      <c r="AD39" s="38"/>
      <c r="AE39" s="38"/>
      <c r="AF39" s="38"/>
      <c r="AG39" s="38"/>
      <c r="AH39" s="39"/>
    </row>
    <row r="40" spans="3:34" x14ac:dyDescent="0.25">
      <c r="D40" t="s">
        <v>159</v>
      </c>
      <c r="E40">
        <v>57.7</v>
      </c>
      <c r="F40">
        <v>8.8000000000000007</v>
      </c>
      <c r="G40" s="37">
        <v>64540</v>
      </c>
      <c r="H40" s="38"/>
      <c r="I40" s="38">
        <v>83410</v>
      </c>
      <c r="J40" s="38"/>
      <c r="K40" s="38">
        <v>103010</v>
      </c>
      <c r="L40" s="38"/>
      <c r="M40" s="38">
        <v>122150</v>
      </c>
      <c r="N40" s="38"/>
      <c r="O40" s="38"/>
      <c r="P40" s="38"/>
      <c r="Q40" s="38"/>
      <c r="R40" s="38"/>
      <c r="S40" s="38"/>
      <c r="T40" s="38"/>
      <c r="U40" s="37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</row>
    <row r="41" spans="3:34" x14ac:dyDescent="0.25">
      <c r="C41" t="s">
        <v>163</v>
      </c>
      <c r="D41" t="s">
        <v>169</v>
      </c>
      <c r="E41">
        <v>10</v>
      </c>
      <c r="F41">
        <v>0.5</v>
      </c>
      <c r="G41" s="37"/>
      <c r="H41" s="38"/>
      <c r="I41" s="38"/>
      <c r="J41" s="38"/>
      <c r="K41" s="48">
        <v>5900</v>
      </c>
      <c r="L41" s="38"/>
      <c r="M41" s="48">
        <v>7400</v>
      </c>
      <c r="N41" s="38"/>
      <c r="O41" s="38">
        <v>9100</v>
      </c>
      <c r="P41" s="38"/>
      <c r="Q41" s="38">
        <v>11000</v>
      </c>
      <c r="R41" s="38"/>
      <c r="S41" s="38">
        <v>14200</v>
      </c>
      <c r="T41" s="38"/>
      <c r="U41" s="37"/>
      <c r="V41" s="38"/>
      <c r="W41" s="38"/>
      <c r="X41" s="38"/>
      <c r="Y41" s="38"/>
      <c r="Z41" s="38"/>
      <c r="AA41" s="48"/>
      <c r="AB41" s="38"/>
      <c r="AC41" s="38"/>
      <c r="AD41" s="38"/>
      <c r="AE41" s="38"/>
      <c r="AF41" s="38"/>
      <c r="AG41" s="38"/>
      <c r="AH41" s="39"/>
    </row>
    <row r="42" spans="3:34" x14ac:dyDescent="0.25">
      <c r="D42" t="s">
        <v>170</v>
      </c>
      <c r="E42">
        <v>10</v>
      </c>
      <c r="F42">
        <v>1.1000000000000001</v>
      </c>
      <c r="G42" s="37"/>
      <c r="H42" s="38"/>
      <c r="I42" s="38"/>
      <c r="J42" s="38"/>
      <c r="K42" s="48">
        <v>11500</v>
      </c>
      <c r="L42" s="38"/>
      <c r="M42" s="48">
        <v>14200</v>
      </c>
      <c r="N42" s="38"/>
      <c r="O42" s="38">
        <v>17300</v>
      </c>
      <c r="P42" s="38"/>
      <c r="Q42" s="38">
        <v>20800</v>
      </c>
      <c r="R42" s="38"/>
      <c r="S42" s="38">
        <v>24600</v>
      </c>
      <c r="T42" s="38"/>
      <c r="U42" s="37"/>
      <c r="V42" s="38"/>
      <c r="W42" s="38"/>
      <c r="X42" s="38"/>
      <c r="Y42" s="38">
        <f t="shared" si="10"/>
        <v>0.49</v>
      </c>
      <c r="Z42" s="38"/>
      <c r="AA42" s="48">
        <f t="shared" si="11"/>
        <v>0.39683098591549298</v>
      </c>
      <c r="AB42" s="38"/>
      <c r="AC42" s="38">
        <f>((($E$31+$F$31))*230)/O42</f>
        <v>0.32572254335260115</v>
      </c>
      <c r="AD42" s="38"/>
      <c r="AE42" s="38">
        <f>((($E$31+$F$31))*230)/Q42</f>
        <v>0.27091346153846152</v>
      </c>
      <c r="AF42" s="38"/>
      <c r="AG42" s="38">
        <f>((($E$31+$F$31))*230)/S42</f>
        <v>0.2290650406504065</v>
      </c>
      <c r="AH42" s="39"/>
    </row>
    <row r="43" spans="3:34" x14ac:dyDescent="0.25">
      <c r="D43" t="s">
        <v>171</v>
      </c>
      <c r="E43">
        <v>13.9</v>
      </c>
      <c r="F43">
        <v>2.1</v>
      </c>
      <c r="G43" s="37"/>
      <c r="H43" s="38"/>
      <c r="I43" s="38"/>
      <c r="J43" s="38"/>
      <c r="K43" s="48">
        <v>16300</v>
      </c>
      <c r="L43" s="38"/>
      <c r="M43" s="48">
        <v>20200</v>
      </c>
      <c r="N43" s="38"/>
      <c r="O43" s="38">
        <v>24700</v>
      </c>
      <c r="P43" s="38"/>
      <c r="Q43" s="38">
        <v>29700</v>
      </c>
      <c r="R43" s="38"/>
      <c r="S43" s="38">
        <v>35300</v>
      </c>
      <c r="T43" s="38"/>
      <c r="U43" s="37"/>
      <c r="V43" s="38"/>
      <c r="W43" s="38"/>
      <c r="X43" s="38"/>
      <c r="Y43" s="38">
        <f t="shared" si="10"/>
        <v>0.34570552147239264</v>
      </c>
      <c r="Z43" s="38"/>
      <c r="AA43" s="48">
        <f t="shared" si="11"/>
        <v>0.27896039603960399</v>
      </c>
      <c r="AB43" s="38"/>
      <c r="AC43" s="38">
        <f>((($E$31+$F$31))*230)/O43</f>
        <v>0.22813765182186235</v>
      </c>
      <c r="AD43" s="38"/>
      <c r="AE43" s="38">
        <f>((($E$31+$F$31))*230)/Q43</f>
        <v>0.18973063973063972</v>
      </c>
      <c r="AF43" s="38"/>
      <c r="AG43" s="38">
        <f>((($E$31+$F$31))*230)/S43</f>
        <v>0.15963172804532577</v>
      </c>
      <c r="AH43" s="39"/>
    </row>
    <row r="44" spans="3:34" x14ac:dyDescent="0.25">
      <c r="D44" t="s">
        <v>172</v>
      </c>
      <c r="E44">
        <v>23.9</v>
      </c>
      <c r="F44">
        <v>2.1</v>
      </c>
      <c r="G44" s="37">
        <v>18300</v>
      </c>
      <c r="H44" s="38"/>
      <c r="I44" s="38">
        <v>22800</v>
      </c>
      <c r="J44" s="38"/>
      <c r="K44" s="48">
        <v>28000</v>
      </c>
      <c r="L44" s="38"/>
      <c r="M44" s="48">
        <v>33900</v>
      </c>
      <c r="N44" s="38"/>
      <c r="O44" s="38"/>
      <c r="P44" s="38"/>
      <c r="Q44" s="38"/>
      <c r="R44" s="38"/>
      <c r="S44" s="38"/>
      <c r="T44" s="38"/>
      <c r="U44" s="37">
        <f>((($E$31+$F$31))*230)/G44</f>
        <v>0.30792349726775958</v>
      </c>
      <c r="V44" s="38"/>
      <c r="W44" s="38">
        <f>((($E$31+$F$31))*230)/I44</f>
        <v>0.24714912280701753</v>
      </c>
      <c r="X44" s="38"/>
      <c r="Y44" s="38">
        <f t="shared" si="10"/>
        <v>0.20125000000000001</v>
      </c>
      <c r="Z44" s="38"/>
      <c r="AA44" s="48">
        <f t="shared" si="11"/>
        <v>0.16622418879056047</v>
      </c>
      <c r="AB44" s="38"/>
      <c r="AC44" s="38"/>
      <c r="AD44" s="38"/>
      <c r="AE44" s="38"/>
      <c r="AF44" s="38"/>
      <c r="AG44" s="38"/>
      <c r="AH44" s="39"/>
    </row>
    <row r="45" spans="3:34" ht="15.75" thickBot="1" x14ac:dyDescent="0.3">
      <c r="D45" t="s">
        <v>173</v>
      </c>
      <c r="E45">
        <v>55</v>
      </c>
      <c r="F45">
        <v>4.2</v>
      </c>
      <c r="G45" s="40">
        <v>42200</v>
      </c>
      <c r="H45" s="41"/>
      <c r="I45" s="41">
        <v>52700</v>
      </c>
      <c r="J45" s="41"/>
      <c r="K45" s="49">
        <v>64800</v>
      </c>
      <c r="L45" s="41"/>
      <c r="M45" s="49">
        <v>78400</v>
      </c>
      <c r="N45" s="41"/>
      <c r="O45" s="41"/>
      <c r="P45" s="41"/>
      <c r="Q45" s="41"/>
      <c r="R45" s="41"/>
      <c r="S45" s="41"/>
      <c r="T45" s="41"/>
      <c r="U45" s="40">
        <f>((($E$31+$F$31))*230)/G45</f>
        <v>0.1335308056872038</v>
      </c>
      <c r="V45" s="41"/>
      <c r="W45" s="41">
        <f>((($E$31+$F$31))*230)/I45</f>
        <v>0.10692599620493359</v>
      </c>
      <c r="X45" s="41"/>
      <c r="Y45" s="41">
        <f t="shared" si="10"/>
        <v>8.6959876543209871E-2</v>
      </c>
      <c r="Z45" s="41"/>
      <c r="AA45" s="49">
        <f t="shared" si="11"/>
        <v>7.1874999999999994E-2</v>
      </c>
      <c r="AB45" s="41"/>
      <c r="AC45" s="41"/>
      <c r="AD45" s="41"/>
      <c r="AE45" s="41"/>
      <c r="AF45" s="41"/>
      <c r="AG45" s="41"/>
      <c r="AH45" s="42"/>
    </row>
    <row r="46" spans="3:34" x14ac:dyDescent="0.25">
      <c r="T46" t="s">
        <v>162</v>
      </c>
      <c r="U46">
        <f>AVERAGE(U45,U44,U39,U38,U33,U34)</f>
        <v>0.23778157618576271</v>
      </c>
      <c r="W46">
        <f>AVERAGE(W44,W38,W33,W39)</f>
        <v>0.2222001314676674</v>
      </c>
      <c r="Y46">
        <f>AVERAGE(Y31:Y45)</f>
        <v>0.20243456698568665</v>
      </c>
      <c r="AA46">
        <f>AVERAGE(AA31:AA45)</f>
        <v>0.16295256950892598</v>
      </c>
      <c r="AC46">
        <f>AVERAGE(AC31:AC45)</f>
        <v>0.16779335452212435</v>
      </c>
      <c r="AE46">
        <f>AVERAGE(AE31:AE45)</f>
        <v>0.13987103804862519</v>
      </c>
      <c r="AG46">
        <f>AVERAGE(AG31:AG45)</f>
        <v>0.11759940831403702</v>
      </c>
    </row>
    <row r="47" spans="3:34" x14ac:dyDescent="0.25">
      <c r="T47" t="s">
        <v>161</v>
      </c>
      <c r="U47">
        <v>0.23780000000000001</v>
      </c>
      <c r="W47">
        <v>0.23</v>
      </c>
      <c r="Y47">
        <v>0.22500000000000001</v>
      </c>
      <c r="AA47">
        <v>0.22</v>
      </c>
      <c r="AC47">
        <v>0.21579999999999999</v>
      </c>
      <c r="AE47">
        <v>0.1744</v>
      </c>
      <c r="AG47">
        <v>0.14199999999999999</v>
      </c>
    </row>
    <row r="53" spans="20:34" ht="15.75" thickBot="1" x14ac:dyDescent="0.3"/>
    <row r="54" spans="20:34" x14ac:dyDescent="0.25">
      <c r="U54" s="107" t="s">
        <v>175</v>
      </c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9"/>
    </row>
    <row r="55" spans="20:34" x14ac:dyDescent="0.25">
      <c r="U55" s="110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2"/>
    </row>
    <row r="56" spans="20:34" x14ac:dyDescent="0.25">
      <c r="U56" s="73">
        <v>-30</v>
      </c>
      <c r="V56" s="35">
        <v>-25</v>
      </c>
      <c r="W56" s="35">
        <v>-20</v>
      </c>
      <c r="X56" s="35">
        <v>-15</v>
      </c>
      <c r="Y56" s="35">
        <v>-10</v>
      </c>
      <c r="Z56" s="35">
        <v>-5</v>
      </c>
      <c r="AA56" s="35">
        <v>0</v>
      </c>
      <c r="AB56" s="35">
        <v>5</v>
      </c>
      <c r="AC56" s="35">
        <v>10</v>
      </c>
      <c r="AD56" s="35">
        <v>15</v>
      </c>
      <c r="AE56" s="35">
        <v>20</v>
      </c>
      <c r="AF56" s="35">
        <v>25</v>
      </c>
      <c r="AG56" s="35">
        <v>30</v>
      </c>
      <c r="AH56" s="36"/>
    </row>
    <row r="57" spans="20:34" x14ac:dyDescent="0.25">
      <c r="T57" s="33" t="s">
        <v>161</v>
      </c>
      <c r="U57" s="50">
        <f>1.1*(U47+U25)/1000</f>
        <v>3.1779000000000003E-4</v>
      </c>
      <c r="V57" s="51">
        <f>(U57-W57)/2+W57</f>
        <v>3.1086000000000004E-4</v>
      </c>
      <c r="W57" s="51">
        <f t="shared" ref="W57:AG57" si="12">1.1*(W47+W25)/1000</f>
        <v>3.0393000000000005E-4</v>
      </c>
      <c r="X57" s="51">
        <f>(W57-Y57)/2+Y57</f>
        <v>3.0041000000000009E-4</v>
      </c>
      <c r="Y57" s="51">
        <f t="shared" si="12"/>
        <v>2.9689000000000007E-4</v>
      </c>
      <c r="Z57" s="51">
        <f>(Y57-AA57)/2+AA57</f>
        <v>2.8770500000000002E-4</v>
      </c>
      <c r="AA57" s="51">
        <f t="shared" si="12"/>
        <v>2.7851999999999998E-4</v>
      </c>
      <c r="AB57" s="51">
        <f>(AA57-AC57)/2+AC57</f>
        <v>2.7610000000000004E-4</v>
      </c>
      <c r="AC57" s="51">
        <f t="shared" si="12"/>
        <v>2.7368000000000005E-4</v>
      </c>
      <c r="AD57" s="51">
        <f>(AC57-AE57)/2+AE57</f>
        <v>2.5036000000000004E-4</v>
      </c>
      <c r="AE57" s="51">
        <f t="shared" si="12"/>
        <v>2.2704000000000002E-4</v>
      </c>
      <c r="AF57" s="51">
        <f>(AE57-AG57)/2+AG57</f>
        <v>2.0647000000000002E-4</v>
      </c>
      <c r="AG57" s="51">
        <f t="shared" si="12"/>
        <v>1.8590000000000002E-4</v>
      </c>
      <c r="AH57" s="51"/>
    </row>
    <row r="58" spans="20:34" ht="15.75" thickBot="1" x14ac:dyDescent="0.3">
      <c r="U58" s="40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2"/>
    </row>
  </sheetData>
  <mergeCells count="7">
    <mergeCell ref="E4:E5"/>
    <mergeCell ref="U4:AH5"/>
    <mergeCell ref="G28:T29"/>
    <mergeCell ref="U28:AH29"/>
    <mergeCell ref="U54:AH55"/>
    <mergeCell ref="F4:F5"/>
    <mergeCell ref="G4:T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A2" workbookViewId="0">
      <selection activeCell="O32" sqref="O32"/>
    </sheetView>
  </sheetViews>
  <sheetFormatPr defaultRowHeight="15" x14ac:dyDescent="0.25"/>
  <cols>
    <col min="1" max="1" width="14.28515625" customWidth="1"/>
    <col min="19" max="19" width="13" customWidth="1"/>
    <col min="20" max="20" width="12" bestFit="1" customWidth="1"/>
    <col min="22" max="22" width="18" customWidth="1"/>
  </cols>
  <sheetData>
    <row r="1" spans="1:33" x14ac:dyDescent="0.25">
      <c r="D1" s="106" t="s">
        <v>131</v>
      </c>
      <c r="E1" s="106" t="s">
        <v>125</v>
      </c>
      <c r="F1" s="107" t="s">
        <v>143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7" t="s">
        <v>176</v>
      </c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9"/>
    </row>
    <row r="2" spans="1:33" x14ac:dyDescent="0.25">
      <c r="D2" s="106"/>
      <c r="E2" s="106"/>
      <c r="F2" s="110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0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2"/>
    </row>
    <row r="3" spans="1:33" x14ac:dyDescent="0.25">
      <c r="C3" s="33" t="s">
        <v>126</v>
      </c>
      <c r="D3" s="34" t="s">
        <v>127</v>
      </c>
      <c r="E3" s="72" t="s">
        <v>127</v>
      </c>
      <c r="F3" s="73">
        <v>-30</v>
      </c>
      <c r="G3" s="35">
        <v>-25</v>
      </c>
      <c r="H3" s="35">
        <v>-20</v>
      </c>
      <c r="I3" s="35">
        <v>-15</v>
      </c>
      <c r="J3" s="35">
        <v>-10</v>
      </c>
      <c r="K3" s="35">
        <v>-5</v>
      </c>
      <c r="L3" s="35">
        <v>0</v>
      </c>
      <c r="M3" s="35">
        <v>5</v>
      </c>
      <c r="N3" s="35">
        <v>10</v>
      </c>
      <c r="O3" s="35">
        <v>15</v>
      </c>
      <c r="P3" s="35">
        <v>20</v>
      </c>
      <c r="Q3" s="35">
        <v>25</v>
      </c>
      <c r="R3" s="35">
        <v>30</v>
      </c>
      <c r="S3" s="35">
        <v>35</v>
      </c>
      <c r="T3" s="73">
        <v>-30</v>
      </c>
      <c r="U3" s="35">
        <v>-25</v>
      </c>
      <c r="V3" s="35">
        <v>-20</v>
      </c>
      <c r="W3" s="35">
        <v>-15</v>
      </c>
      <c r="X3" s="35">
        <v>-10</v>
      </c>
      <c r="Y3" s="35">
        <v>-5</v>
      </c>
      <c r="Z3" s="35">
        <v>0</v>
      </c>
      <c r="AA3" s="35">
        <v>5</v>
      </c>
      <c r="AB3" s="35">
        <v>10</v>
      </c>
      <c r="AC3" s="35">
        <v>15</v>
      </c>
      <c r="AD3" s="35">
        <v>20</v>
      </c>
      <c r="AE3" s="35">
        <v>25</v>
      </c>
      <c r="AF3" s="35">
        <v>30</v>
      </c>
      <c r="AG3" s="36">
        <v>35</v>
      </c>
    </row>
    <row r="4" spans="1:33" x14ac:dyDescent="0.25">
      <c r="A4" s="55" t="s">
        <v>178</v>
      </c>
      <c r="B4" s="55" t="s">
        <v>132</v>
      </c>
      <c r="C4" s="55" t="s">
        <v>133</v>
      </c>
      <c r="D4" s="56">
        <v>53.6</v>
      </c>
      <c r="E4" s="56">
        <v>9.1999999999999993</v>
      </c>
      <c r="F4" s="57">
        <v>68652</v>
      </c>
      <c r="G4" s="58"/>
      <c r="H4" s="59">
        <v>76280</v>
      </c>
      <c r="I4" s="58"/>
      <c r="J4" s="59">
        <v>79332</v>
      </c>
      <c r="K4" s="60"/>
      <c r="L4" s="59">
        <v>83908</v>
      </c>
      <c r="M4" s="60"/>
      <c r="N4" s="59">
        <v>88485</v>
      </c>
      <c r="O4" s="60"/>
      <c r="P4" s="59">
        <v>91536</v>
      </c>
      <c r="Q4" s="59">
        <v>93062</v>
      </c>
      <c r="R4" s="60"/>
      <c r="S4" s="59">
        <v>100690</v>
      </c>
      <c r="T4" s="61">
        <f>((((208*0.9*SQRT(3)*$E4*(24-((1/3)*4))+(208*$D4*(1/3)*4)))/(F4*18)))</f>
        <v>6.6745563893977566E-2</v>
      </c>
      <c r="U4" s="61">
        <f>(-(T4-V4)/2)+T4</f>
        <v>6.3408285699278685E-2</v>
      </c>
      <c r="V4" s="61">
        <f>((((208*0.9*SQRT(3)*$E4*(24-((1/3)*4))+(208*$D4*(1/3)*4)))/(H4*18)))</f>
        <v>6.0071007504579804E-2</v>
      </c>
      <c r="W4" s="61">
        <f>(-(V4-X4)/2)+V4</f>
        <v>5.8915504587068727E-2</v>
      </c>
      <c r="X4" s="61">
        <f>((((208*0.9*SQRT(3)*$E4*(24-((1/3)*4))+(208*$D4*(1/3)*4)))/(J4*18)))</f>
        <v>5.7760001669557651E-2</v>
      </c>
      <c r="Y4" s="61">
        <f>(-(X4-Z4)/2)+X4</f>
        <v>5.6185004245951464E-2</v>
      </c>
      <c r="Z4" s="61">
        <f>((((208*0.9*SQRT(3)*$E4*(24-((1/3)*4))+(208*$D4*(1/3)*4)))/(L4*18)))</f>
        <v>5.4610006822345278E-2</v>
      </c>
      <c r="AA4" s="61">
        <f>(-(Z4-AB4)/2)+Z4</f>
        <v>5.3197620535257784E-2</v>
      </c>
      <c r="AB4" s="61">
        <f>((((208*0.9*SQRT(3)*$E4*(24-((1/3)*4))+(208*$D4*(1/3)*4)))/(N4*18)))</f>
        <v>5.1785234248170282E-2</v>
      </c>
      <c r="AC4" s="61">
        <f>(-(AB4-AD4)/2)+AB4</f>
        <v>5.0922203584326725E-2</v>
      </c>
      <c r="AD4" s="61">
        <f>((((208*0.9*SQRT(3)*$E4*(24-((1/3)*4))+(208*$D4*(1/3)*4)))/(P4*18)))</f>
        <v>5.0059172920483168E-2</v>
      </c>
      <c r="AE4" s="61">
        <f>((((208*0.9*SQRT(3)*$E4*(24-((1/3)*4))+(208*$D4*(1/3)*4)))/(Q4*18)))</f>
        <v>4.9238319103923699E-2</v>
      </c>
      <c r="AF4" s="61">
        <f>(-(AE4-AG4)/2)+AE4</f>
        <v>4.7373238668305812E-2</v>
      </c>
      <c r="AG4" s="61">
        <f>((((208*0.9*SQRT(3)*$E4*(24-((1/3)*4))+(208*$D4*(1/3)*4)))/(S4*18)))</f>
        <v>4.5508158232687931E-2</v>
      </c>
    </row>
    <row r="5" spans="1:33" x14ac:dyDescent="0.25">
      <c r="A5" s="63" t="s">
        <v>177</v>
      </c>
      <c r="B5" s="63" t="s">
        <v>132</v>
      </c>
      <c r="C5" s="63" t="s">
        <v>133</v>
      </c>
      <c r="D5" s="64">
        <v>0</v>
      </c>
      <c r="E5" s="64">
        <v>9.1999999999999993</v>
      </c>
      <c r="F5" s="65">
        <v>68652</v>
      </c>
      <c r="G5" s="66"/>
      <c r="H5" s="67">
        <v>76280</v>
      </c>
      <c r="I5" s="66"/>
      <c r="J5" s="67">
        <v>79332</v>
      </c>
      <c r="K5" s="68"/>
      <c r="L5" s="67">
        <v>83908</v>
      </c>
      <c r="M5" s="68"/>
      <c r="N5" s="67">
        <v>88485</v>
      </c>
      <c r="O5" s="68"/>
      <c r="P5" s="67">
        <v>91536</v>
      </c>
      <c r="Q5" s="67">
        <v>93062</v>
      </c>
      <c r="R5" s="68"/>
      <c r="S5" s="67">
        <v>100690</v>
      </c>
      <c r="T5" s="69">
        <f>((208*0.9*SQRT(3)*$E5*24)/(F5*18))</f>
        <v>5.7934844002164018E-2</v>
      </c>
      <c r="U5" s="69">
        <f>(-(T5-V5)/2)+T5</f>
        <v>5.5038101802055817E-2</v>
      </c>
      <c r="V5" s="69">
        <f>((208*0.9*SQRT(3)*$E5*24)/(H5*18))</f>
        <v>5.2141359601947615E-2</v>
      </c>
      <c r="W5" s="69">
        <f>(-(V5-X5)/2)+V5</f>
        <v>5.1138388357650583E-2</v>
      </c>
      <c r="X5" s="69">
        <f>((208*0.9*SQRT(3)*$E5*24)/(J5*18))</f>
        <v>5.013541711335355E-2</v>
      </c>
      <c r="Y5" s="69">
        <f>(-(X5-Z5)/2)+X5</f>
        <v>4.8768326557562053E-2</v>
      </c>
      <c r="Z5" s="69">
        <f>((208*0.9*SQRT(3)*$E5*24)/(L5*18))</f>
        <v>4.7401236001770562E-2</v>
      </c>
      <c r="AA5" s="69">
        <f>(-(Z5-AB5)/2)+Z5</f>
        <v>4.6175291168295371E-2</v>
      </c>
      <c r="AB5" s="69">
        <f>((208*0.9*SQRT(3)*$E5*24)/(N5*18))</f>
        <v>4.4949346334820187E-2</v>
      </c>
      <c r="AC5" s="69">
        <f>(-(AB5-AD5)/2)+AB5</f>
        <v>4.4200239668221598E-2</v>
      </c>
      <c r="AD5" s="69">
        <f>((208*0.9*SQRT(3)*$E5*24)/(P5*18))</f>
        <v>4.345113300162301E-2</v>
      </c>
      <c r="AE5" s="69">
        <f>((208*0.9*SQRT(3)*$E5*24)/(Q5*18))</f>
        <v>4.2738635645446735E-2</v>
      </c>
      <c r="AF5" s="69">
        <f>(-(AE5-AG5)/2)+AE5</f>
        <v>4.1119754362779801E-2</v>
      </c>
      <c r="AG5" s="69">
        <f>((208*0.9*SQRT(3)*$E5*24)/(S5*18))</f>
        <v>3.950087308011286E-2</v>
      </c>
    </row>
    <row r="6" spans="1:33" x14ac:dyDescent="0.25">
      <c r="D6" t="s">
        <v>179</v>
      </c>
      <c r="E6" t="s">
        <v>180</v>
      </c>
    </row>
    <row r="7" spans="1:33" x14ac:dyDescent="0.25">
      <c r="A7" t="s">
        <v>181</v>
      </c>
      <c r="B7" t="s">
        <v>157</v>
      </c>
      <c r="D7">
        <v>23.6</v>
      </c>
      <c r="E7">
        <v>2.7</v>
      </c>
      <c r="F7" s="37">
        <v>17400</v>
      </c>
      <c r="G7" s="38"/>
      <c r="H7" s="38">
        <v>23140</v>
      </c>
      <c r="I7" s="38"/>
      <c r="J7" s="38">
        <v>29620</v>
      </c>
      <c r="K7" s="38"/>
      <c r="L7" s="38">
        <v>36470</v>
      </c>
      <c r="M7" s="38"/>
      <c r="N7" s="38"/>
      <c r="O7" s="38"/>
      <c r="P7" s="38"/>
      <c r="Q7" s="38"/>
      <c r="R7" s="38"/>
      <c r="S7" s="38"/>
      <c r="T7" s="70">
        <f>((($D7+$E7)*208*0.9*SQRT(3)))/F7</f>
        <v>0.4900867622961097</v>
      </c>
      <c r="U7" s="70">
        <f>(-(T7-V7)/2)+T7</f>
        <v>0.42930244908133725</v>
      </c>
      <c r="V7" s="70">
        <f>((($D7+$E7)*208*0.9*SQRT(3)))/H7</f>
        <v>0.36851813586656479</v>
      </c>
      <c r="W7" s="70">
        <f>(-(V7-X7)/2)+V7</f>
        <v>0.32820757677785206</v>
      </c>
      <c r="X7" s="70">
        <f>((($D7+$E7)*208*0.9*SQRT(3)))/J7</f>
        <v>0.28789701768913939</v>
      </c>
      <c r="Y7" s="70">
        <f>(-(X7-Z7)/2)+X7</f>
        <v>0.26085980119379248</v>
      </c>
      <c r="Z7" s="70">
        <f>((($D7+$E7)*208*0.9*SQRT(3)))/L7</f>
        <v>0.23382258469844555</v>
      </c>
      <c r="AA7" s="70"/>
      <c r="AB7" s="70"/>
      <c r="AC7" s="70"/>
      <c r="AD7" s="70"/>
      <c r="AE7" s="70"/>
      <c r="AF7" s="70"/>
      <c r="AG7" s="70"/>
    </row>
    <row r="8" spans="1:33" x14ac:dyDescent="0.25">
      <c r="A8" t="s">
        <v>182</v>
      </c>
      <c r="B8" t="s">
        <v>148</v>
      </c>
      <c r="D8">
        <v>22.3</v>
      </c>
      <c r="E8">
        <v>2.2000000000000002</v>
      </c>
      <c r="F8" s="37"/>
      <c r="G8" s="38"/>
      <c r="H8" s="38"/>
      <c r="I8" s="38"/>
      <c r="J8" s="38">
        <v>25180</v>
      </c>
      <c r="K8" s="38"/>
      <c r="L8" s="38">
        <v>31413</v>
      </c>
      <c r="M8" s="38"/>
      <c r="N8" s="38">
        <v>39012</v>
      </c>
      <c r="O8" s="38"/>
      <c r="P8" s="38">
        <v>47822</v>
      </c>
      <c r="Q8" s="38">
        <v>52666</v>
      </c>
      <c r="R8" s="38">
        <v>57711</v>
      </c>
      <c r="S8" s="38"/>
      <c r="T8" s="70"/>
      <c r="U8" s="70"/>
      <c r="V8" s="70"/>
      <c r="W8" s="70"/>
      <c r="X8" s="70">
        <f>((($D8+$E8)*208*0.9*SQRT(3)))/J8</f>
        <v>0.31548363081151309</v>
      </c>
      <c r="Y8" s="70">
        <f>(-(X8-Z8)/2)+X8</f>
        <v>0.28418433639760543</v>
      </c>
      <c r="Z8" s="70">
        <f>((($D8+$E8)*208*0.9*SQRT(3)))/L8</f>
        <v>0.25288504198369782</v>
      </c>
      <c r="AA8" s="70">
        <f>(-(Z8-AB8)/2)+Z8</f>
        <v>0.2282557813198749</v>
      </c>
      <c r="AB8" s="70">
        <f>((($D8+$E8)*208*0.9*SQRT(3)))/N8</f>
        <v>0.20362652065605197</v>
      </c>
      <c r="AC8" s="70">
        <f>(-(AB8-AD8)/2)+AB8</f>
        <v>0.18486998969770835</v>
      </c>
      <c r="AD8" s="70">
        <f>((($D8+$E8)*208*0.9*SQRT(3)))/P8</f>
        <v>0.1661134587393647</v>
      </c>
      <c r="AE8" s="70">
        <f>((($D8+$E8)*208*0.9*SQRT(3)))/Q8</f>
        <v>0.15083503254156191</v>
      </c>
      <c r="AF8" s="70">
        <f>((($D8+$E8)*208*0.9*SQRT(3)))/R8</f>
        <v>0.13764928391180017</v>
      </c>
      <c r="AG8" s="70">
        <f>(AF8-(AE8-AF8))</f>
        <v>0.12446353528203843</v>
      </c>
    </row>
    <row r="9" spans="1:33" x14ac:dyDescent="0.25">
      <c r="S9" s="71" t="s">
        <v>162</v>
      </c>
      <c r="T9" s="71">
        <f>AVERAGE(T7:T8)</f>
        <v>0.4900867622961097</v>
      </c>
      <c r="U9" s="71">
        <f t="shared" ref="U9:AG9" si="0">AVERAGE(U7:U8)</f>
        <v>0.42930244908133725</v>
      </c>
      <c r="V9" s="71">
        <f t="shared" si="0"/>
        <v>0.36851813586656479</v>
      </c>
      <c r="W9" s="71">
        <f t="shared" si="0"/>
        <v>0.32820757677785206</v>
      </c>
      <c r="X9" s="71">
        <f t="shared" si="0"/>
        <v>0.30169032425032627</v>
      </c>
      <c r="Y9" s="71">
        <f t="shared" si="0"/>
        <v>0.27252206879569896</v>
      </c>
      <c r="Z9" s="71">
        <f t="shared" si="0"/>
        <v>0.2433538133410717</v>
      </c>
      <c r="AA9" s="71">
        <f t="shared" si="0"/>
        <v>0.2282557813198749</v>
      </c>
      <c r="AB9" s="71">
        <f t="shared" si="0"/>
        <v>0.20362652065605197</v>
      </c>
      <c r="AC9" s="71">
        <f t="shared" si="0"/>
        <v>0.18486998969770835</v>
      </c>
      <c r="AD9" s="71">
        <f t="shared" si="0"/>
        <v>0.1661134587393647</v>
      </c>
      <c r="AE9" s="71">
        <f t="shared" si="0"/>
        <v>0.15083503254156191</v>
      </c>
      <c r="AF9" s="71">
        <f t="shared" si="0"/>
        <v>0.13764928391180017</v>
      </c>
      <c r="AG9" s="71">
        <f t="shared" si="0"/>
        <v>0.12446353528203843</v>
      </c>
    </row>
    <row r="11" spans="1:33" x14ac:dyDescent="0.25">
      <c r="A11" s="33" t="s">
        <v>94</v>
      </c>
    </row>
    <row r="12" spans="1:33" ht="42.75" customHeight="1" x14ac:dyDescent="0.25">
      <c r="B12" t="s">
        <v>183</v>
      </c>
      <c r="R12" s="74"/>
      <c r="S12" s="75" t="s">
        <v>196</v>
      </c>
      <c r="T12" s="74" t="s">
        <v>191</v>
      </c>
      <c r="U12" s="74" t="s">
        <v>193</v>
      </c>
      <c r="V12" s="76"/>
    </row>
    <row r="13" spans="1:33" x14ac:dyDescent="0.25">
      <c r="B13" t="s">
        <v>184</v>
      </c>
      <c r="R13" s="74">
        <v>-40</v>
      </c>
      <c r="S13" s="74">
        <f t="shared" ref="S13:U14" si="1">S14-S15+S14</f>
        <v>0.67282092759822021</v>
      </c>
      <c r="T13" s="74">
        <f t="shared" si="1"/>
        <v>8.0762132311712864E-2</v>
      </c>
      <c r="U13" s="74">
        <f t="shared" si="1"/>
        <v>7.0101161242618462E-2</v>
      </c>
    </row>
    <row r="14" spans="1:33" x14ac:dyDescent="0.25">
      <c r="B14" t="s">
        <v>185</v>
      </c>
      <c r="R14" s="74">
        <v>-35</v>
      </c>
      <c r="S14" s="74">
        <f t="shared" si="1"/>
        <v>0.60595818306197047</v>
      </c>
      <c r="T14" s="74">
        <f t="shared" si="1"/>
        <v>7.7091126297544096E-2</v>
      </c>
      <c r="U14" s="74">
        <f t="shared" si="1"/>
        <v>6.6914744822499442E-2</v>
      </c>
    </row>
    <row r="15" spans="1:33" x14ac:dyDescent="0.25">
      <c r="B15" t="s">
        <v>186</v>
      </c>
      <c r="R15" s="74">
        <v>-30</v>
      </c>
      <c r="S15" s="74">
        <f>T9*1.1</f>
        <v>0.53909543852572073</v>
      </c>
      <c r="T15" s="74">
        <f>T4*1.1</f>
        <v>7.3420120283375329E-2</v>
      </c>
      <c r="U15" s="74">
        <f>T5*1.1</f>
        <v>6.3728328402380421E-2</v>
      </c>
    </row>
    <row r="16" spans="1:33" x14ac:dyDescent="0.25">
      <c r="B16" t="s">
        <v>187</v>
      </c>
      <c r="R16" s="74">
        <f>R15+5</f>
        <v>-25</v>
      </c>
      <c r="S16" s="74">
        <f>U9*1.1</f>
        <v>0.47223269398947099</v>
      </c>
      <c r="T16" s="74">
        <f>U4*1.1</f>
        <v>6.9749114269206561E-2</v>
      </c>
      <c r="U16" s="74">
        <f>U5*1.1</f>
        <v>6.0541911982261401E-2</v>
      </c>
    </row>
    <row r="17" spans="2:21" x14ac:dyDescent="0.25">
      <c r="B17" t="s">
        <v>188</v>
      </c>
      <c r="R17" s="74">
        <f t="shared" ref="R17:R28" si="2">R16+5</f>
        <v>-20</v>
      </c>
      <c r="S17" s="74">
        <f>V9*1.1</f>
        <v>0.4053699494532213</v>
      </c>
      <c r="T17" s="74">
        <f>V4*1.1</f>
        <v>6.6078108255037793E-2</v>
      </c>
      <c r="U17" s="74">
        <f>V5*1.1</f>
        <v>5.7355495562142381E-2</v>
      </c>
    </row>
    <row r="18" spans="2:21" x14ac:dyDescent="0.25">
      <c r="B18" t="s">
        <v>195</v>
      </c>
      <c r="R18" s="74">
        <f t="shared" si="2"/>
        <v>-15</v>
      </c>
      <c r="S18" s="74">
        <f>W9*1.1</f>
        <v>0.36102833445563731</v>
      </c>
      <c r="T18" s="74">
        <f>W4*1.1</f>
        <v>6.4807055045775608E-2</v>
      </c>
      <c r="U18" s="74">
        <f>W5*1.1</f>
        <v>5.6252227193415646E-2</v>
      </c>
    </row>
    <row r="19" spans="2:21" x14ac:dyDescent="0.25">
      <c r="R19" s="74">
        <f t="shared" si="2"/>
        <v>-10</v>
      </c>
      <c r="S19" s="74">
        <f>X9*1.1</f>
        <v>0.33185935667535893</v>
      </c>
      <c r="T19" s="74">
        <f>X4*1.1</f>
        <v>6.3536001836513423E-2</v>
      </c>
      <c r="U19" s="74">
        <f>X5*1.1</f>
        <v>5.5148958824688912E-2</v>
      </c>
    </row>
    <row r="20" spans="2:21" x14ac:dyDescent="0.25">
      <c r="R20" s="74">
        <f t="shared" si="2"/>
        <v>-5</v>
      </c>
      <c r="S20" s="74">
        <f>Y9*1.1</f>
        <v>0.29977427567526888</v>
      </c>
      <c r="T20" s="74">
        <f>Y4*1.1</f>
        <v>6.1803504670546613E-2</v>
      </c>
      <c r="U20" s="74">
        <f>Y5*1.1</f>
        <v>5.3645159213318264E-2</v>
      </c>
    </row>
    <row r="21" spans="2:21" x14ac:dyDescent="0.25">
      <c r="R21" s="74">
        <f t="shared" si="2"/>
        <v>0</v>
      </c>
      <c r="S21" s="74">
        <f>Z9*1.1</f>
        <v>0.26768919467517888</v>
      </c>
      <c r="T21" s="74">
        <f>Z4*1.1</f>
        <v>6.0071007504579811E-2</v>
      </c>
      <c r="U21" s="74">
        <f>Z5*1.1</f>
        <v>5.2141359601947622E-2</v>
      </c>
    </row>
    <row r="22" spans="2:21" x14ac:dyDescent="0.25">
      <c r="R22" s="74">
        <f t="shared" si="2"/>
        <v>5</v>
      </c>
      <c r="S22" s="74">
        <f>AA9*1.1</f>
        <v>0.25108135945186238</v>
      </c>
      <c r="T22" s="74">
        <f>AA4*1.1</f>
        <v>5.8517382588783563E-2</v>
      </c>
      <c r="U22" s="74">
        <f>AA5*1.1</f>
        <v>5.0792820285124912E-2</v>
      </c>
    </row>
    <row r="23" spans="2:21" x14ac:dyDescent="0.25">
      <c r="R23" s="74">
        <f t="shared" si="2"/>
        <v>10</v>
      </c>
      <c r="S23" s="74">
        <f>AB9*1.1</f>
        <v>0.22398917272165719</v>
      </c>
      <c r="T23" s="74">
        <f>AB4*1.1</f>
        <v>5.6963757672987315E-2</v>
      </c>
      <c r="U23" s="74">
        <f>AB5*1.1</f>
        <v>4.9444280968302209E-2</v>
      </c>
    </row>
    <row r="24" spans="2:21" x14ac:dyDescent="0.25">
      <c r="R24" s="74">
        <f t="shared" si="2"/>
        <v>15</v>
      </c>
      <c r="S24" s="74">
        <f>AC9*1.1</f>
        <v>0.2033569886674792</v>
      </c>
      <c r="T24" s="74">
        <f>AC4*1.1</f>
        <v>5.6014423942759399E-2</v>
      </c>
      <c r="U24" s="74">
        <f>AC5*1.1</f>
        <v>4.8620263635043764E-2</v>
      </c>
    </row>
    <row r="25" spans="2:21" x14ac:dyDescent="0.25">
      <c r="R25" s="74">
        <f t="shared" si="2"/>
        <v>20</v>
      </c>
      <c r="S25" s="74">
        <f>AD9*1.1</f>
        <v>0.18272480461330118</v>
      </c>
      <c r="T25" s="74">
        <f>AD4*1.1</f>
        <v>5.5065090212531489E-2</v>
      </c>
      <c r="U25" s="74">
        <f>AD5*1.1</f>
        <v>4.7796246301785313E-2</v>
      </c>
    </row>
    <row r="26" spans="2:21" x14ac:dyDescent="0.25">
      <c r="R26" s="74">
        <f t="shared" si="2"/>
        <v>25</v>
      </c>
      <c r="S26" s="74">
        <f>AE9*1.1</f>
        <v>0.16591853579571811</v>
      </c>
      <c r="T26" s="74">
        <f>AE4*1.1</f>
        <v>5.4162151014316075E-2</v>
      </c>
      <c r="U26" s="74">
        <f>AE5*1.1</f>
        <v>4.7012499209991412E-2</v>
      </c>
    </row>
    <row r="27" spans="2:21" x14ac:dyDescent="0.25">
      <c r="R27" s="74">
        <f t="shared" si="2"/>
        <v>30</v>
      </c>
      <c r="S27" s="74">
        <f>AF9*1.1</f>
        <v>0.15141421230298022</v>
      </c>
      <c r="T27" s="74">
        <f>AF4*1.1</f>
        <v>5.21105625351364E-2</v>
      </c>
      <c r="U27" s="74">
        <f>AF5*1.1</f>
        <v>4.5231729799057784E-2</v>
      </c>
    </row>
    <row r="28" spans="2:21" x14ac:dyDescent="0.25">
      <c r="R28" s="74">
        <f t="shared" si="2"/>
        <v>35</v>
      </c>
      <c r="S28" s="74">
        <f>AG9*1.1</f>
        <v>0.1369098888102423</v>
      </c>
      <c r="T28" s="74">
        <f>AG4*1.1</f>
        <v>5.0058974055956731E-2</v>
      </c>
      <c r="U28" s="74">
        <f>AG5*1.1</f>
        <v>4.3450960388124148E-2</v>
      </c>
    </row>
  </sheetData>
  <mergeCells count="4">
    <mergeCell ref="D1:D2"/>
    <mergeCell ref="E1:E2"/>
    <mergeCell ref="F1:S2"/>
    <mergeCell ref="T1:A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6" sqref="B6:E6"/>
    </sheetView>
  </sheetViews>
  <sheetFormatPr defaultRowHeight="15" x14ac:dyDescent="0.25"/>
  <sheetData/>
  <sheetProtection password="C98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KW-Calc</vt:lpstr>
      <vt:lpstr>Energy Calc Sheet #2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Whitworth</dc:creator>
  <cp:lastModifiedBy>Bruce Gregory</cp:lastModifiedBy>
  <cp:lastPrinted>2011-08-11T13:33:43Z</cp:lastPrinted>
  <dcterms:created xsi:type="dcterms:W3CDTF">2010-12-15T21:36:25Z</dcterms:created>
  <dcterms:modified xsi:type="dcterms:W3CDTF">2015-05-19T16:50:31Z</dcterms:modified>
</cp:coreProperties>
</file>